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codeName="ThisWorkbook" defaultThemeVersion="124226"/>
  <mc:AlternateContent xmlns:mc="http://schemas.openxmlformats.org/markup-compatibility/2006">
    <mc:Choice Requires="x15">
      <x15ac:absPath xmlns:x15ac="http://schemas.microsoft.com/office/spreadsheetml/2010/11/ac" url="D:\Estimates &amp; Samples\Sample all\Site Works\"/>
    </mc:Choice>
  </mc:AlternateContent>
  <xr:revisionPtr revIDLastSave="0" documentId="13_ncr:1_{584481BA-3D5C-4003-85D6-D7B53A732C9B}" xr6:coauthVersionLast="47" xr6:coauthVersionMax="47" xr10:uidLastSave="{00000000-0000-0000-0000-000000000000}"/>
  <bookViews>
    <workbookView xWindow="-108" yWindow="-108" windowWidth="23256" windowHeight="12576" tabRatio="512" activeTab="1" xr2:uid="{00000000-000D-0000-FFFF-FFFF00000000}"/>
  </bookViews>
  <sheets>
    <sheet name="Summary" sheetId="2" r:id="rId1"/>
    <sheet name="Concrete" sheetId="1" r:id="rId2"/>
    <sheet name="Site Work" sheetId="5" r:id="rId3"/>
  </sheets>
  <definedNames>
    <definedName name="_xlnm.Print_Area" localSheetId="1">Concrete!$B$2:$R$110</definedName>
    <definedName name="_xlnm.Print_Area" localSheetId="2">'Site Work'!$B$2:$R$204</definedName>
    <definedName name="_xlnm.Print_Area" localSheetId="0">Summary!$B$2:$G$29</definedName>
    <definedName name="_xlnm.Print_Titles" localSheetId="1">Concrete!$2:$19</definedName>
    <definedName name="_xlnm.Print_Titles" localSheetId="2">'Site Work'!$2:$19</definedName>
    <definedName name="_xlnm.Print_Titles" localSheetId="0">Summary!$2:$16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202" i="5" l="1"/>
  <c r="K190" i="5"/>
  <c r="K189" i="5"/>
  <c r="K188" i="5"/>
  <c r="K187" i="5"/>
  <c r="K186" i="5"/>
  <c r="K92" i="5"/>
  <c r="K89" i="5"/>
  <c r="K86" i="5"/>
  <c r="E28" i="2" l="1"/>
  <c r="K204" i="5"/>
  <c r="B204" i="5"/>
  <c r="F203" i="5"/>
  <c r="K203" i="5" s="1"/>
  <c r="F201" i="5"/>
  <c r="K201" i="5" s="1"/>
  <c r="K200" i="5"/>
  <c r="B200" i="5"/>
  <c r="K199" i="5"/>
  <c r="B199" i="5"/>
  <c r="B198" i="5"/>
  <c r="B197" i="5"/>
  <c r="K192" i="5"/>
  <c r="B192" i="5"/>
  <c r="F191" i="5"/>
  <c r="K191" i="5" s="1"/>
  <c r="B190" i="5"/>
  <c r="B189" i="5"/>
  <c r="B187" i="5"/>
  <c r="B186" i="5"/>
  <c r="F185" i="5"/>
  <c r="K184" i="5"/>
  <c r="B184" i="5"/>
  <c r="K183" i="5"/>
  <c r="B183" i="5"/>
  <c r="B182" i="5"/>
  <c r="K85" i="5"/>
  <c r="K87" i="5"/>
  <c r="K88" i="5"/>
  <c r="K90" i="5"/>
  <c r="K91" i="5"/>
  <c r="K93" i="5"/>
  <c r="K94" i="5"/>
  <c r="B81" i="5"/>
  <c r="B82" i="5"/>
  <c r="B84" i="5"/>
  <c r="B85" i="5"/>
  <c r="B87" i="5"/>
  <c r="B88" i="5"/>
  <c r="B90" i="5"/>
  <c r="B91" i="5"/>
  <c r="B93" i="5"/>
  <c r="B94" i="5"/>
  <c r="B96" i="5"/>
  <c r="B97" i="5"/>
  <c r="B27" i="2"/>
  <c r="B26" i="2"/>
  <c r="K84" i="5"/>
  <c r="K185" i="5" l="1"/>
  <c r="T2" i="5"/>
  <c r="H201" i="5" l="1"/>
  <c r="I201" i="5" s="1"/>
  <c r="H186" i="5"/>
  <c r="I186" i="5" s="1"/>
  <c r="H185" i="5"/>
  <c r="I185" i="5" s="1"/>
  <c r="H203" i="5"/>
  <c r="I203" i="5" s="1"/>
  <c r="H189" i="5"/>
  <c r="I189" i="5" s="1"/>
  <c r="H89" i="5"/>
  <c r="I89" i="5" s="1"/>
  <c r="H191" i="5"/>
  <c r="I191" i="5" s="1"/>
  <c r="H202" i="5"/>
  <c r="I202" i="5" s="1"/>
  <c r="H187" i="5"/>
  <c r="I187" i="5" s="1"/>
  <c r="H86" i="5"/>
  <c r="I86" i="5" s="1"/>
  <c r="H190" i="5"/>
  <c r="I190" i="5" s="1"/>
  <c r="H188" i="5"/>
  <c r="I188" i="5" s="1"/>
  <c r="H92" i="5"/>
  <c r="I92" i="5" s="1"/>
  <c r="H200" i="5"/>
  <c r="I200" i="5" s="1"/>
  <c r="H199" i="5"/>
  <c r="I199" i="5" s="1"/>
  <c r="H192" i="5"/>
  <c r="I192" i="5" s="1"/>
  <c r="H94" i="5"/>
  <c r="I94" i="5" s="1"/>
  <c r="H93" i="5"/>
  <c r="I93" i="5" s="1"/>
  <c r="H204" i="5"/>
  <c r="I204" i="5" s="1"/>
  <c r="H184" i="5"/>
  <c r="I184" i="5" s="1"/>
  <c r="H183" i="5"/>
  <c r="I183" i="5" s="1"/>
  <c r="H85" i="5"/>
  <c r="I85" i="5" s="1"/>
  <c r="H84" i="5"/>
  <c r="I84" i="5" s="1"/>
  <c r="K74" i="5"/>
  <c r="K36" i="5"/>
  <c r="K33" i="5"/>
  <c r="K32" i="5"/>
  <c r="K31" i="5"/>
  <c r="K28" i="5"/>
  <c r="K80" i="5"/>
  <c r="K109" i="5"/>
  <c r="K161" i="5"/>
  <c r="K155" i="5"/>
  <c r="K148" i="5"/>
  <c r="K147" i="5"/>
  <c r="K149" i="5"/>
  <c r="K143" i="5"/>
  <c r="K142" i="5"/>
  <c r="K144" i="5"/>
  <c r="K145" i="5"/>
  <c r="K152" i="5"/>
  <c r="K158" i="5"/>
  <c r="K169" i="5"/>
  <c r="K179" i="5"/>
  <c r="K178" i="5"/>
  <c r="K176" i="5"/>
  <c r="K175" i="5"/>
  <c r="K77" i="5"/>
  <c r="K83" i="5"/>
  <c r="K71" i="5"/>
  <c r="K62" i="5"/>
  <c r="K52" i="5"/>
  <c r="K106" i="1"/>
  <c r="H106" i="1"/>
  <c r="I106" i="1" s="1"/>
  <c r="H109" i="1"/>
  <c r="K93" i="1"/>
  <c r="H93" i="1"/>
  <c r="I93" i="1" s="1"/>
  <c r="K92" i="1"/>
  <c r="H92" i="1"/>
  <c r="I92" i="1" s="1"/>
  <c r="K38" i="1"/>
  <c r="H38" i="1"/>
  <c r="I38" i="1" s="1"/>
  <c r="K97" i="1"/>
  <c r="H97" i="1"/>
  <c r="I97" i="1" s="1"/>
  <c r="K96" i="1"/>
  <c r="H96" i="1"/>
  <c r="I96" i="1" s="1"/>
  <c r="H100" i="1"/>
  <c r="K103" i="1"/>
  <c r="H103" i="1"/>
  <c r="I103" i="1" s="1"/>
  <c r="K89" i="1"/>
  <c r="H89" i="1"/>
  <c r="I89" i="1" s="1"/>
  <c r="K88" i="1"/>
  <c r="H88" i="1"/>
  <c r="I88" i="1" s="1"/>
  <c r="N69" i="1"/>
  <c r="O69" i="1" s="1"/>
  <c r="P69" i="1" s="1"/>
  <c r="K69" i="1"/>
  <c r="H69" i="1"/>
  <c r="I69" i="1" s="1"/>
  <c r="H198" i="5" l="1"/>
  <c r="H182" i="5"/>
  <c r="Q69" i="1"/>
  <c r="K65" i="5" l="1"/>
  <c r="H30" i="1" l="1"/>
  <c r="I30" i="1" s="1"/>
  <c r="N30" i="1"/>
  <c r="K30" i="1"/>
  <c r="H40" i="1"/>
  <c r="K85" i="1" l="1"/>
  <c r="H85" i="1"/>
  <c r="I85" i="1" s="1"/>
  <c r="H81" i="1"/>
  <c r="H79" i="1"/>
  <c r="H82" i="1"/>
  <c r="H80" i="1"/>
  <c r="H77" i="1"/>
  <c r="H74" i="1"/>
  <c r="H73" i="1"/>
  <c r="H78" i="1"/>
  <c r="H76" i="1"/>
  <c r="H75" i="1"/>
  <c r="H72" i="1"/>
  <c r="H66" i="1"/>
  <c r="H63" i="1"/>
  <c r="H60" i="1"/>
  <c r="H59" i="1"/>
  <c r="H56" i="1"/>
  <c r="H53" i="1"/>
  <c r="H52" i="1"/>
  <c r="H49" i="1"/>
  <c r="H46" i="1"/>
  <c r="H43" i="1"/>
  <c r="N39" i="1"/>
  <c r="O39" i="1" s="1"/>
  <c r="P39" i="1" s="1"/>
  <c r="K39" i="1"/>
  <c r="H39" i="1"/>
  <c r="I39" i="1" s="1"/>
  <c r="K35" i="1"/>
  <c r="H35" i="1"/>
  <c r="I35" i="1" s="1"/>
  <c r="Q39" i="1" l="1"/>
  <c r="H32" i="1"/>
  <c r="K31" i="1"/>
  <c r="H31" i="1"/>
  <c r="I31" i="1" s="1"/>
  <c r="K29" i="1"/>
  <c r="H29" i="1"/>
  <c r="I29" i="1" s="1"/>
  <c r="K28" i="1"/>
  <c r="H28" i="1"/>
  <c r="I28" i="1" s="1"/>
  <c r="N23" i="1" l="1"/>
  <c r="K23" i="1"/>
  <c r="H23" i="1"/>
  <c r="I23" i="1" s="1"/>
  <c r="U2" i="5"/>
  <c r="N203" i="5" l="1"/>
  <c r="O203" i="5" s="1"/>
  <c r="P203" i="5" s="1"/>
  <c r="Q203" i="5" s="1"/>
  <c r="N190" i="5"/>
  <c r="O190" i="5" s="1"/>
  <c r="P190" i="5" s="1"/>
  <c r="Q190" i="5" s="1"/>
  <c r="N188" i="5"/>
  <c r="O188" i="5" s="1"/>
  <c r="P188" i="5" s="1"/>
  <c r="Q188" i="5" s="1"/>
  <c r="N89" i="5"/>
  <c r="N186" i="5"/>
  <c r="O186" i="5" s="1"/>
  <c r="P186" i="5" s="1"/>
  <c r="Q186" i="5" s="1"/>
  <c r="N86" i="5"/>
  <c r="O86" i="5" s="1"/>
  <c r="P86" i="5" s="1"/>
  <c r="Q86" i="5" s="1"/>
  <c r="N191" i="5"/>
  <c r="O191" i="5" s="1"/>
  <c r="P191" i="5" s="1"/>
  <c r="Q191" i="5" s="1"/>
  <c r="N185" i="5"/>
  <c r="O185" i="5" s="1"/>
  <c r="P185" i="5" s="1"/>
  <c r="Q185" i="5" s="1"/>
  <c r="N92" i="5"/>
  <c r="O92" i="5" s="1"/>
  <c r="P92" i="5" s="1"/>
  <c r="Q92" i="5" s="1"/>
  <c r="N201" i="5"/>
  <c r="O201" i="5" s="1"/>
  <c r="P201" i="5" s="1"/>
  <c r="Q201" i="5" s="1"/>
  <c r="N202" i="5"/>
  <c r="O202" i="5" s="1"/>
  <c r="P202" i="5" s="1"/>
  <c r="Q202" i="5" s="1"/>
  <c r="N189" i="5"/>
  <c r="O189" i="5" s="1"/>
  <c r="P189" i="5" s="1"/>
  <c r="Q189" i="5" s="1"/>
  <c r="N187" i="5"/>
  <c r="O187" i="5" s="1"/>
  <c r="P187" i="5" s="1"/>
  <c r="Q187" i="5" s="1"/>
  <c r="N87" i="5"/>
  <c r="O87" i="5" s="1"/>
  <c r="P87" i="5" s="1"/>
  <c r="Q87" i="5" s="1"/>
  <c r="N88" i="5"/>
  <c r="O88" i="5" s="1"/>
  <c r="P88" i="5" s="1"/>
  <c r="Q88" i="5" s="1"/>
  <c r="N90" i="5"/>
  <c r="O90" i="5" s="1"/>
  <c r="P90" i="5" s="1"/>
  <c r="Q90" i="5" s="1"/>
  <c r="N91" i="5"/>
  <c r="O91" i="5" s="1"/>
  <c r="P91" i="5" s="1"/>
  <c r="Q91" i="5" s="1"/>
  <c r="N200" i="5"/>
  <c r="O200" i="5" s="1"/>
  <c r="P200" i="5" s="1"/>
  <c r="Q200" i="5" s="1"/>
  <c r="N199" i="5"/>
  <c r="O199" i="5" s="1"/>
  <c r="P199" i="5" s="1"/>
  <c r="N192" i="5"/>
  <c r="O192" i="5" s="1"/>
  <c r="P192" i="5" s="1"/>
  <c r="Q192" i="5" s="1"/>
  <c r="N85" i="5"/>
  <c r="O85" i="5" s="1"/>
  <c r="P85" i="5" s="1"/>
  <c r="Q85" i="5" s="1"/>
  <c r="N184" i="5"/>
  <c r="O184" i="5" s="1"/>
  <c r="P184" i="5" s="1"/>
  <c r="Q184" i="5" s="1"/>
  <c r="N93" i="5"/>
  <c r="O93" i="5" s="1"/>
  <c r="P93" i="5" s="1"/>
  <c r="Q93" i="5" s="1"/>
  <c r="O89" i="5"/>
  <c r="P89" i="5" s="1"/>
  <c r="Q89" i="5" s="1"/>
  <c r="N94" i="5"/>
  <c r="O94" i="5" s="1"/>
  <c r="P94" i="5" s="1"/>
  <c r="Q94" i="5" s="1"/>
  <c r="N204" i="5"/>
  <c r="O204" i="5" s="1"/>
  <c r="P204" i="5" s="1"/>
  <c r="Q204" i="5" s="1"/>
  <c r="N183" i="5"/>
  <c r="O183" i="5" s="1"/>
  <c r="P183" i="5" s="1"/>
  <c r="N84" i="5"/>
  <c r="O84" i="5" s="1"/>
  <c r="P84" i="5" s="1"/>
  <c r="Q84" i="5" s="1"/>
  <c r="N179" i="5"/>
  <c r="O179" i="5" s="1"/>
  <c r="P179" i="5" s="1"/>
  <c r="N171" i="5"/>
  <c r="O171" i="5" s="1"/>
  <c r="P171" i="5" s="1"/>
  <c r="N163" i="5"/>
  <c r="O163" i="5" s="1"/>
  <c r="P163" i="5" s="1"/>
  <c r="N155" i="5"/>
  <c r="O155" i="5" s="1"/>
  <c r="P155" i="5" s="1"/>
  <c r="N147" i="5"/>
  <c r="O147" i="5" s="1"/>
  <c r="P147" i="5" s="1"/>
  <c r="N135" i="5"/>
  <c r="O135" i="5" s="1"/>
  <c r="N127" i="5"/>
  <c r="O127" i="5" s="1"/>
  <c r="P127" i="5" s="1"/>
  <c r="N119" i="5"/>
  <c r="O119" i="5" s="1"/>
  <c r="N111" i="5"/>
  <c r="O111" i="5" s="1"/>
  <c r="P111" i="5" s="1"/>
  <c r="N103" i="5"/>
  <c r="O103" i="5" s="1"/>
  <c r="P103" i="5" s="1"/>
  <c r="N95" i="5"/>
  <c r="O95" i="5" s="1"/>
  <c r="N78" i="5"/>
  <c r="O78" i="5" s="1"/>
  <c r="P78" i="5" s="1"/>
  <c r="N70" i="5"/>
  <c r="O70" i="5" s="1"/>
  <c r="P70" i="5" s="1"/>
  <c r="N62" i="5"/>
  <c r="O62" i="5" s="1"/>
  <c r="P62" i="5" s="1"/>
  <c r="N52" i="5"/>
  <c r="O52" i="5" s="1"/>
  <c r="P52" i="5" s="1"/>
  <c r="N44" i="5"/>
  <c r="O44" i="5" s="1"/>
  <c r="P44" i="5" s="1"/>
  <c r="N36" i="5"/>
  <c r="O36" i="5" s="1"/>
  <c r="P36" i="5" s="1"/>
  <c r="N28" i="5"/>
  <c r="O28" i="5" s="1"/>
  <c r="P28" i="5" s="1"/>
  <c r="N177" i="5"/>
  <c r="O177" i="5" s="1"/>
  <c r="N169" i="5"/>
  <c r="O169" i="5" s="1"/>
  <c r="P169" i="5" s="1"/>
  <c r="N161" i="5"/>
  <c r="O161" i="5" s="1"/>
  <c r="P161" i="5" s="1"/>
  <c r="N153" i="5"/>
  <c r="O153" i="5" s="1"/>
  <c r="P153" i="5" s="1"/>
  <c r="N145" i="5"/>
  <c r="O145" i="5" s="1"/>
  <c r="P145" i="5" s="1"/>
  <c r="N133" i="5"/>
  <c r="O133" i="5" s="1"/>
  <c r="P133" i="5" s="1"/>
  <c r="N125" i="5"/>
  <c r="O125" i="5" s="1"/>
  <c r="P125" i="5" s="1"/>
  <c r="N117" i="5"/>
  <c r="O117" i="5" s="1"/>
  <c r="P117" i="5" s="1"/>
  <c r="N109" i="5"/>
  <c r="O109" i="5" s="1"/>
  <c r="P109" i="5" s="1"/>
  <c r="N101" i="5"/>
  <c r="O101" i="5" s="1"/>
  <c r="N76" i="5"/>
  <c r="O76" i="5" s="1"/>
  <c r="P76" i="5" s="1"/>
  <c r="N68" i="5"/>
  <c r="O68" i="5" s="1"/>
  <c r="N60" i="5"/>
  <c r="O60" i="5" s="1"/>
  <c r="P60" i="5" s="1"/>
  <c r="N54" i="5"/>
  <c r="O54" i="5" s="1"/>
  <c r="P54" i="5" s="1"/>
  <c r="N46" i="5"/>
  <c r="O46" i="5" s="1"/>
  <c r="P46" i="5" s="1"/>
  <c r="N38" i="5"/>
  <c r="O38" i="5" s="1"/>
  <c r="N30" i="5"/>
  <c r="O30" i="5" s="1"/>
  <c r="P30" i="5" s="1"/>
  <c r="N176" i="5"/>
  <c r="O176" i="5" s="1"/>
  <c r="P176" i="5" s="1"/>
  <c r="N168" i="5"/>
  <c r="O168" i="5" s="1"/>
  <c r="P168" i="5" s="1"/>
  <c r="N160" i="5"/>
  <c r="O160" i="5" s="1"/>
  <c r="P160" i="5" s="1"/>
  <c r="N152" i="5"/>
  <c r="O152" i="5" s="1"/>
  <c r="P152" i="5" s="1"/>
  <c r="N144" i="5"/>
  <c r="O144" i="5" s="1"/>
  <c r="P144" i="5" s="1"/>
  <c r="N132" i="5"/>
  <c r="O132" i="5" s="1"/>
  <c r="N124" i="5"/>
  <c r="O124" i="5" s="1"/>
  <c r="P124" i="5" s="1"/>
  <c r="N116" i="5"/>
  <c r="O116" i="5" s="1"/>
  <c r="N108" i="5"/>
  <c r="O108" i="5" s="1"/>
  <c r="P108" i="5" s="1"/>
  <c r="N100" i="5"/>
  <c r="O100" i="5" s="1"/>
  <c r="P100" i="5" s="1"/>
  <c r="N83" i="5"/>
  <c r="O83" i="5" s="1"/>
  <c r="P83" i="5" s="1"/>
  <c r="N75" i="5"/>
  <c r="O75" i="5" s="1"/>
  <c r="P75" i="5" s="1"/>
  <c r="N67" i="5"/>
  <c r="O67" i="5" s="1"/>
  <c r="P67" i="5" s="1"/>
  <c r="N59" i="5"/>
  <c r="O59" i="5" s="1"/>
  <c r="N51" i="5"/>
  <c r="O51" i="5" s="1"/>
  <c r="N43" i="5"/>
  <c r="O43" i="5" s="1"/>
  <c r="P43" i="5" s="1"/>
  <c r="N35" i="5"/>
  <c r="O35" i="5" s="1"/>
  <c r="P35" i="5" s="1"/>
  <c r="N172" i="5"/>
  <c r="O172" i="5" s="1"/>
  <c r="P172" i="5" s="1"/>
  <c r="N156" i="5"/>
  <c r="O156" i="5" s="1"/>
  <c r="P156" i="5" s="1"/>
  <c r="N148" i="5"/>
  <c r="O148" i="5" s="1"/>
  <c r="P148" i="5" s="1"/>
  <c r="N128" i="5"/>
  <c r="O128" i="5" s="1"/>
  <c r="N112" i="5"/>
  <c r="O112" i="5" s="1"/>
  <c r="N96" i="5"/>
  <c r="O96" i="5" s="1"/>
  <c r="P96" i="5" s="1"/>
  <c r="N79" i="5"/>
  <c r="O79" i="5" s="1"/>
  <c r="P79" i="5" s="1"/>
  <c r="N63" i="5"/>
  <c r="O63" i="5" s="1"/>
  <c r="P63" i="5" s="1"/>
  <c r="N47" i="5"/>
  <c r="O47" i="5" s="1"/>
  <c r="P47" i="5" s="1"/>
  <c r="N178" i="5"/>
  <c r="O178" i="5" s="1"/>
  <c r="P178" i="5" s="1"/>
  <c r="N170" i="5"/>
  <c r="O170" i="5" s="1"/>
  <c r="P170" i="5" s="1"/>
  <c r="N162" i="5"/>
  <c r="O162" i="5" s="1"/>
  <c r="P162" i="5" s="1"/>
  <c r="N154" i="5"/>
  <c r="O154" i="5" s="1"/>
  <c r="P154" i="5" s="1"/>
  <c r="N146" i="5"/>
  <c r="O146" i="5" s="1"/>
  <c r="N134" i="5"/>
  <c r="O134" i="5" s="1"/>
  <c r="P134" i="5" s="1"/>
  <c r="N126" i="5"/>
  <c r="O126" i="5" s="1"/>
  <c r="P126" i="5" s="1"/>
  <c r="N118" i="5"/>
  <c r="O118" i="5" s="1"/>
  <c r="P118" i="5" s="1"/>
  <c r="N110" i="5"/>
  <c r="O110" i="5" s="1"/>
  <c r="P110" i="5" s="1"/>
  <c r="N102" i="5"/>
  <c r="O102" i="5" s="1"/>
  <c r="P102" i="5" s="1"/>
  <c r="N77" i="5"/>
  <c r="O77" i="5" s="1"/>
  <c r="P77" i="5" s="1"/>
  <c r="N69" i="5"/>
  <c r="O69" i="5" s="1"/>
  <c r="P69" i="5" s="1"/>
  <c r="N61" i="5"/>
  <c r="O61" i="5" s="1"/>
  <c r="P61" i="5" s="1"/>
  <c r="N49" i="5"/>
  <c r="O49" i="5" s="1"/>
  <c r="P49" i="5" s="1"/>
  <c r="N41" i="5"/>
  <c r="O41" i="5" s="1"/>
  <c r="P41" i="5" s="1"/>
  <c r="N33" i="5"/>
  <c r="O33" i="5" s="1"/>
  <c r="P33" i="5" s="1"/>
  <c r="N175" i="5"/>
  <c r="O175" i="5" s="1"/>
  <c r="P175" i="5" s="1"/>
  <c r="N167" i="5"/>
  <c r="O167" i="5" s="1"/>
  <c r="P167" i="5" s="1"/>
  <c r="N159" i="5"/>
  <c r="O159" i="5" s="1"/>
  <c r="P159" i="5" s="1"/>
  <c r="N151" i="5"/>
  <c r="O151" i="5" s="1"/>
  <c r="P151" i="5" s="1"/>
  <c r="N143" i="5"/>
  <c r="O143" i="5" s="1"/>
  <c r="P143" i="5" s="1"/>
  <c r="N131" i="5"/>
  <c r="O131" i="5" s="1"/>
  <c r="P131" i="5" s="1"/>
  <c r="N123" i="5"/>
  <c r="O123" i="5" s="1"/>
  <c r="N115" i="5"/>
  <c r="O115" i="5" s="1"/>
  <c r="N107" i="5"/>
  <c r="O107" i="5" s="1"/>
  <c r="P107" i="5" s="1"/>
  <c r="N99" i="5"/>
  <c r="O99" i="5" s="1"/>
  <c r="P99" i="5" s="1"/>
  <c r="N82" i="5"/>
  <c r="O82" i="5" s="1"/>
  <c r="P82" i="5" s="1"/>
  <c r="N74" i="5"/>
  <c r="O74" i="5" s="1"/>
  <c r="P74" i="5" s="1"/>
  <c r="N66" i="5"/>
  <c r="O66" i="5" s="1"/>
  <c r="P66" i="5" s="1"/>
  <c r="N58" i="5"/>
  <c r="O58" i="5" s="1"/>
  <c r="N48" i="5"/>
  <c r="O48" i="5" s="1"/>
  <c r="N40" i="5"/>
  <c r="O40" i="5" s="1"/>
  <c r="N32" i="5"/>
  <c r="O32" i="5" s="1"/>
  <c r="P32" i="5" s="1"/>
  <c r="N174" i="5"/>
  <c r="O174" i="5" s="1"/>
  <c r="N166" i="5"/>
  <c r="O166" i="5" s="1"/>
  <c r="P166" i="5" s="1"/>
  <c r="N158" i="5"/>
  <c r="O158" i="5" s="1"/>
  <c r="P158" i="5" s="1"/>
  <c r="N150" i="5"/>
  <c r="O150" i="5" s="1"/>
  <c r="P150" i="5" s="1"/>
  <c r="N142" i="5"/>
  <c r="O142" i="5" s="1"/>
  <c r="P142" i="5" s="1"/>
  <c r="N130" i="5"/>
  <c r="O130" i="5" s="1"/>
  <c r="P130" i="5" s="1"/>
  <c r="N122" i="5"/>
  <c r="O122" i="5" s="1"/>
  <c r="N114" i="5"/>
  <c r="O114" i="5" s="1"/>
  <c r="P114" i="5" s="1"/>
  <c r="N106" i="5"/>
  <c r="O106" i="5" s="1"/>
  <c r="N98" i="5"/>
  <c r="O98" i="5" s="1"/>
  <c r="N81" i="5"/>
  <c r="O81" i="5" s="1"/>
  <c r="P81" i="5" s="1"/>
  <c r="N73" i="5"/>
  <c r="O73" i="5" s="1"/>
  <c r="P73" i="5" s="1"/>
  <c r="N65" i="5"/>
  <c r="O65" i="5" s="1"/>
  <c r="P65" i="5" s="1"/>
  <c r="N57" i="5"/>
  <c r="O57" i="5" s="1"/>
  <c r="P57" i="5" s="1"/>
  <c r="N53" i="5"/>
  <c r="O53" i="5" s="1"/>
  <c r="P53" i="5" s="1"/>
  <c r="N45" i="5"/>
  <c r="O45" i="5" s="1"/>
  <c r="N37" i="5"/>
  <c r="O37" i="5" s="1"/>
  <c r="N29" i="5"/>
  <c r="O29" i="5" s="1"/>
  <c r="P29" i="5" s="1"/>
  <c r="N173" i="5"/>
  <c r="O173" i="5" s="1"/>
  <c r="P173" i="5" s="1"/>
  <c r="N165" i="5"/>
  <c r="O165" i="5" s="1"/>
  <c r="P165" i="5" s="1"/>
  <c r="N157" i="5"/>
  <c r="O157" i="5" s="1"/>
  <c r="P157" i="5" s="1"/>
  <c r="N149" i="5"/>
  <c r="O149" i="5" s="1"/>
  <c r="P149" i="5" s="1"/>
  <c r="N137" i="5"/>
  <c r="O137" i="5" s="1"/>
  <c r="P137" i="5" s="1"/>
  <c r="N129" i="5"/>
  <c r="O129" i="5" s="1"/>
  <c r="N121" i="5"/>
  <c r="O121" i="5" s="1"/>
  <c r="P121" i="5" s="1"/>
  <c r="N113" i="5"/>
  <c r="O113" i="5" s="1"/>
  <c r="P113" i="5" s="1"/>
  <c r="N105" i="5"/>
  <c r="O105" i="5" s="1"/>
  <c r="N97" i="5"/>
  <c r="O97" i="5" s="1"/>
  <c r="P97" i="5" s="1"/>
  <c r="N80" i="5"/>
  <c r="O80" i="5" s="1"/>
  <c r="P80" i="5" s="1"/>
  <c r="N72" i="5"/>
  <c r="O72" i="5" s="1"/>
  <c r="P72" i="5" s="1"/>
  <c r="N64" i="5"/>
  <c r="O64" i="5" s="1"/>
  <c r="P64" i="5" s="1"/>
  <c r="N56" i="5"/>
  <c r="O56" i="5" s="1"/>
  <c r="P56" i="5" s="1"/>
  <c r="N50" i="5"/>
  <c r="O50" i="5" s="1"/>
  <c r="P50" i="5" s="1"/>
  <c r="N42" i="5"/>
  <c r="O42" i="5" s="1"/>
  <c r="P42" i="5" s="1"/>
  <c r="N34" i="5"/>
  <c r="O34" i="5" s="1"/>
  <c r="P34" i="5" s="1"/>
  <c r="N180" i="5"/>
  <c r="O180" i="5" s="1"/>
  <c r="N164" i="5"/>
  <c r="O164" i="5" s="1"/>
  <c r="P164" i="5" s="1"/>
  <c r="N136" i="5"/>
  <c r="O136" i="5" s="1"/>
  <c r="P136" i="5" s="1"/>
  <c r="N120" i="5"/>
  <c r="O120" i="5" s="1"/>
  <c r="P120" i="5" s="1"/>
  <c r="N104" i="5"/>
  <c r="O104" i="5" s="1"/>
  <c r="N71" i="5"/>
  <c r="O71" i="5" s="1"/>
  <c r="P71" i="5" s="1"/>
  <c r="N55" i="5"/>
  <c r="O55" i="5" s="1"/>
  <c r="N39" i="5"/>
  <c r="O39" i="5" s="1"/>
  <c r="P39" i="5" s="1"/>
  <c r="N31" i="5"/>
  <c r="O31" i="5" s="1"/>
  <c r="P31" i="5" s="1"/>
  <c r="H36" i="5"/>
  <c r="I36" i="5" s="1"/>
  <c r="H31" i="5"/>
  <c r="I31" i="5" s="1"/>
  <c r="H146" i="5"/>
  <c r="H180" i="5"/>
  <c r="H176" i="5"/>
  <c r="I176" i="5" s="1"/>
  <c r="H119" i="5"/>
  <c r="H122" i="5"/>
  <c r="H116" i="5"/>
  <c r="H101" i="5"/>
  <c r="H98" i="5"/>
  <c r="H83" i="5"/>
  <c r="I83" i="5" s="1"/>
  <c r="Q83" i="5" s="1"/>
  <c r="H62" i="5"/>
  <c r="I62" i="5" s="1"/>
  <c r="H55" i="5"/>
  <c r="H80" i="5"/>
  <c r="I80" i="5" s="1"/>
  <c r="H155" i="5"/>
  <c r="I155" i="5" s="1"/>
  <c r="H147" i="5"/>
  <c r="I147" i="5" s="1"/>
  <c r="H143" i="5"/>
  <c r="I143" i="5" s="1"/>
  <c r="H152" i="5"/>
  <c r="I152" i="5" s="1"/>
  <c r="H169" i="5"/>
  <c r="I169" i="5" s="1"/>
  <c r="H177" i="5"/>
  <c r="H132" i="5"/>
  <c r="H129" i="5"/>
  <c r="H128" i="5"/>
  <c r="H123" i="5"/>
  <c r="H106" i="5"/>
  <c r="H77" i="5"/>
  <c r="I77" i="5" s="1"/>
  <c r="H48" i="5"/>
  <c r="H37" i="5"/>
  <c r="H32" i="5"/>
  <c r="I32" i="5" s="1"/>
  <c r="H161" i="5"/>
  <c r="I161" i="5" s="1"/>
  <c r="H178" i="5"/>
  <c r="I178" i="5" s="1"/>
  <c r="H174" i="5"/>
  <c r="H112" i="5"/>
  <c r="H135" i="5"/>
  <c r="H104" i="5"/>
  <c r="H95" i="5"/>
  <c r="H71" i="5"/>
  <c r="I71" i="5" s="1"/>
  <c r="Q71" i="5" s="1"/>
  <c r="H68" i="5"/>
  <c r="H51" i="5"/>
  <c r="H74" i="5"/>
  <c r="I74" i="5" s="1"/>
  <c r="H33" i="5"/>
  <c r="I33" i="5" s="1"/>
  <c r="H28" i="5"/>
  <c r="I28" i="5" s="1"/>
  <c r="H109" i="5"/>
  <c r="I109" i="5" s="1"/>
  <c r="H148" i="5"/>
  <c r="I148" i="5" s="1"/>
  <c r="H149" i="5"/>
  <c r="I149" i="5" s="1"/>
  <c r="H142" i="5"/>
  <c r="I142" i="5" s="1"/>
  <c r="H144" i="5"/>
  <c r="I144" i="5" s="1"/>
  <c r="H145" i="5"/>
  <c r="I145" i="5" s="1"/>
  <c r="H158" i="5"/>
  <c r="I158" i="5" s="1"/>
  <c r="H179" i="5"/>
  <c r="I179" i="5" s="1"/>
  <c r="Q179" i="5" s="1"/>
  <c r="H175" i="5"/>
  <c r="I175" i="5" s="1"/>
  <c r="Q175" i="5" s="1"/>
  <c r="H115" i="5"/>
  <c r="H105" i="5"/>
  <c r="H52" i="5"/>
  <c r="I52" i="5" s="1"/>
  <c r="H65" i="5"/>
  <c r="I65" i="5" s="1"/>
  <c r="H58" i="5"/>
  <c r="H45" i="5"/>
  <c r="H59" i="5"/>
  <c r="K173" i="5"/>
  <c r="H173" i="5"/>
  <c r="I173" i="5" s="1"/>
  <c r="K172" i="5"/>
  <c r="H172" i="5"/>
  <c r="I172" i="5" s="1"/>
  <c r="K171" i="5"/>
  <c r="H171" i="5"/>
  <c r="I171" i="5" s="1"/>
  <c r="K170" i="5"/>
  <c r="H170" i="5"/>
  <c r="I170" i="5" s="1"/>
  <c r="K168" i="5"/>
  <c r="H168" i="5"/>
  <c r="I168" i="5" s="1"/>
  <c r="K167" i="5"/>
  <c r="H167" i="5"/>
  <c r="I167" i="5" s="1"/>
  <c r="Q167" i="5" s="1"/>
  <c r="K166" i="5"/>
  <c r="H166" i="5"/>
  <c r="I166" i="5" s="1"/>
  <c r="K165" i="5"/>
  <c r="H165" i="5"/>
  <c r="I165" i="5" s="1"/>
  <c r="K164" i="5"/>
  <c r="H164" i="5"/>
  <c r="I164" i="5" s="1"/>
  <c r="K163" i="5"/>
  <c r="H163" i="5"/>
  <c r="I163" i="5" s="1"/>
  <c r="Q163" i="5" s="1"/>
  <c r="K162" i="5"/>
  <c r="H162" i="5"/>
  <c r="I162" i="5" s="1"/>
  <c r="K160" i="5"/>
  <c r="H160" i="5"/>
  <c r="I160" i="5" s="1"/>
  <c r="K159" i="5"/>
  <c r="H159" i="5"/>
  <c r="I159" i="5" s="1"/>
  <c r="K157" i="5"/>
  <c r="H157" i="5"/>
  <c r="I157" i="5" s="1"/>
  <c r="K156" i="5"/>
  <c r="H156" i="5"/>
  <c r="I156" i="5" s="1"/>
  <c r="K154" i="5"/>
  <c r="H154" i="5"/>
  <c r="I154" i="5" s="1"/>
  <c r="K153" i="5"/>
  <c r="H153" i="5"/>
  <c r="I153" i="5" s="1"/>
  <c r="K151" i="5"/>
  <c r="H151" i="5"/>
  <c r="I151" i="5" s="1"/>
  <c r="K150" i="5"/>
  <c r="H150" i="5"/>
  <c r="I150" i="5" s="1"/>
  <c r="N141" i="5"/>
  <c r="O141" i="5" s="1"/>
  <c r="P141" i="5" s="1"/>
  <c r="K141" i="5"/>
  <c r="H141" i="5"/>
  <c r="I141" i="5" s="1"/>
  <c r="N140" i="5"/>
  <c r="O140" i="5" s="1"/>
  <c r="P140" i="5" s="1"/>
  <c r="K140" i="5"/>
  <c r="H140" i="5"/>
  <c r="I140" i="5" s="1"/>
  <c r="N138" i="5"/>
  <c r="O138" i="5" s="1"/>
  <c r="P138" i="5" s="1"/>
  <c r="K138" i="5"/>
  <c r="H138" i="5"/>
  <c r="I138" i="5" s="1"/>
  <c r="K137" i="5"/>
  <c r="H137" i="5"/>
  <c r="I137" i="5" s="1"/>
  <c r="K136" i="5"/>
  <c r="H136" i="5"/>
  <c r="I136" i="5" s="1"/>
  <c r="K134" i="5"/>
  <c r="H134" i="5"/>
  <c r="I134" i="5" s="1"/>
  <c r="K133" i="5"/>
  <c r="H133" i="5"/>
  <c r="I133" i="5" s="1"/>
  <c r="K131" i="5"/>
  <c r="H131" i="5"/>
  <c r="I131" i="5" s="1"/>
  <c r="K130" i="5"/>
  <c r="H130" i="5"/>
  <c r="I130" i="5" s="1"/>
  <c r="K127" i="5"/>
  <c r="H127" i="5"/>
  <c r="I127" i="5" s="1"/>
  <c r="K126" i="5"/>
  <c r="H126" i="5"/>
  <c r="I126" i="5" s="1"/>
  <c r="K125" i="5"/>
  <c r="H125" i="5"/>
  <c r="I125" i="5" s="1"/>
  <c r="K124" i="5"/>
  <c r="H124" i="5"/>
  <c r="I124" i="5" s="1"/>
  <c r="Q124" i="5" s="1"/>
  <c r="K121" i="5"/>
  <c r="H121" i="5"/>
  <c r="I121" i="5" s="1"/>
  <c r="K120" i="5"/>
  <c r="H120" i="5"/>
  <c r="I120" i="5" s="1"/>
  <c r="Q120" i="5" s="1"/>
  <c r="K118" i="5"/>
  <c r="H118" i="5"/>
  <c r="I118" i="5" s="1"/>
  <c r="K117" i="5"/>
  <c r="H117" i="5"/>
  <c r="I117" i="5" s="1"/>
  <c r="K114" i="5"/>
  <c r="H114" i="5"/>
  <c r="I114" i="5" s="1"/>
  <c r="K113" i="5"/>
  <c r="H113" i="5"/>
  <c r="I113" i="5" s="1"/>
  <c r="K111" i="5"/>
  <c r="H111" i="5"/>
  <c r="I111" i="5" s="1"/>
  <c r="K110" i="5"/>
  <c r="H110" i="5"/>
  <c r="I110" i="5" s="1"/>
  <c r="K108" i="5"/>
  <c r="H108" i="5"/>
  <c r="I108" i="5" s="1"/>
  <c r="K107" i="5"/>
  <c r="H107" i="5"/>
  <c r="I107" i="5" s="1"/>
  <c r="Q107" i="5" s="1"/>
  <c r="K103" i="5"/>
  <c r="H103" i="5"/>
  <c r="I103" i="5" s="1"/>
  <c r="Q103" i="5" s="1"/>
  <c r="K102" i="5"/>
  <c r="H102" i="5"/>
  <c r="I102" i="5" s="1"/>
  <c r="K100" i="5"/>
  <c r="H100" i="5"/>
  <c r="I100" i="5" s="1"/>
  <c r="K99" i="5"/>
  <c r="H99" i="5"/>
  <c r="I99" i="5" s="1"/>
  <c r="Q99" i="5" s="1"/>
  <c r="K97" i="5"/>
  <c r="H97" i="5"/>
  <c r="I97" i="5" s="1"/>
  <c r="K96" i="5"/>
  <c r="H96" i="5"/>
  <c r="I96" i="5" s="1"/>
  <c r="Q96" i="5" s="1"/>
  <c r="K82" i="5"/>
  <c r="H82" i="5"/>
  <c r="I82" i="5" s="1"/>
  <c r="K81" i="5"/>
  <c r="H81" i="5"/>
  <c r="I81" i="5" s="1"/>
  <c r="K79" i="5"/>
  <c r="H79" i="5"/>
  <c r="I79" i="5" s="1"/>
  <c r="K78" i="5"/>
  <c r="H78" i="5"/>
  <c r="I78" i="5" s="1"/>
  <c r="K76" i="5"/>
  <c r="H76" i="5"/>
  <c r="I76" i="5" s="1"/>
  <c r="K75" i="5"/>
  <c r="H75" i="5"/>
  <c r="I75" i="5" s="1"/>
  <c r="K73" i="5"/>
  <c r="H73" i="5"/>
  <c r="I73" i="5" s="1"/>
  <c r="K72" i="5"/>
  <c r="H72" i="5"/>
  <c r="I72" i="5" s="1"/>
  <c r="K70" i="5"/>
  <c r="H70" i="5"/>
  <c r="I70" i="5" s="1"/>
  <c r="K69" i="5"/>
  <c r="H69" i="5"/>
  <c r="I69" i="5" s="1"/>
  <c r="K67" i="5"/>
  <c r="H67" i="5"/>
  <c r="I67" i="5" s="1"/>
  <c r="K66" i="5"/>
  <c r="H66" i="5"/>
  <c r="I66" i="5" s="1"/>
  <c r="Q66" i="5" s="1"/>
  <c r="K64" i="5"/>
  <c r="H64" i="5"/>
  <c r="I64" i="5" s="1"/>
  <c r="K63" i="5"/>
  <c r="H63" i="5"/>
  <c r="I63" i="5" s="1"/>
  <c r="K61" i="5"/>
  <c r="H61" i="5"/>
  <c r="I61" i="5" s="1"/>
  <c r="K60" i="5"/>
  <c r="H60" i="5"/>
  <c r="I60" i="5" s="1"/>
  <c r="Q60" i="5" s="1"/>
  <c r="K57" i="5"/>
  <c r="H57" i="5"/>
  <c r="I57" i="5" s="1"/>
  <c r="K56" i="5"/>
  <c r="H56" i="5"/>
  <c r="I56" i="5" s="1"/>
  <c r="Q56" i="5" s="1"/>
  <c r="K54" i="5"/>
  <c r="H54" i="5"/>
  <c r="I54" i="5" s="1"/>
  <c r="K53" i="5"/>
  <c r="H53" i="5"/>
  <c r="I53" i="5" s="1"/>
  <c r="K50" i="5"/>
  <c r="H50" i="5"/>
  <c r="I50" i="5" s="1"/>
  <c r="K49" i="5"/>
  <c r="H49" i="5"/>
  <c r="I49" i="5" s="1"/>
  <c r="K47" i="5"/>
  <c r="H47" i="5"/>
  <c r="I47" i="5" s="1"/>
  <c r="K46" i="5"/>
  <c r="H46" i="5"/>
  <c r="I46" i="5" s="1"/>
  <c r="K44" i="5"/>
  <c r="H44" i="5"/>
  <c r="I44" i="5" s="1"/>
  <c r="K43" i="5"/>
  <c r="H43" i="5"/>
  <c r="I43" i="5" s="1"/>
  <c r="Q43" i="5" s="1"/>
  <c r="K42" i="5"/>
  <c r="H42" i="5"/>
  <c r="I42" i="5" s="1"/>
  <c r="K41" i="5"/>
  <c r="H41" i="5"/>
  <c r="I41" i="5" s="1"/>
  <c r="H40" i="5"/>
  <c r="K39" i="5"/>
  <c r="H39" i="5"/>
  <c r="I39" i="5" s="1"/>
  <c r="H38" i="5"/>
  <c r="K35" i="5"/>
  <c r="H35" i="5"/>
  <c r="I35" i="5" s="1"/>
  <c r="K34" i="5"/>
  <c r="H34" i="5"/>
  <c r="I34" i="5" s="1"/>
  <c r="Q34" i="5" s="1"/>
  <c r="K30" i="5"/>
  <c r="H30" i="5"/>
  <c r="I30" i="5" s="1"/>
  <c r="K29" i="5"/>
  <c r="H29" i="5"/>
  <c r="I29" i="5" s="1"/>
  <c r="N27" i="5"/>
  <c r="O27" i="5" s="1"/>
  <c r="P27" i="5" s="1"/>
  <c r="K27" i="5"/>
  <c r="H27" i="5"/>
  <c r="I27" i="5" s="1"/>
  <c r="N26" i="5"/>
  <c r="O26" i="5" s="1"/>
  <c r="P26" i="5" s="1"/>
  <c r="K26" i="5"/>
  <c r="H26" i="5"/>
  <c r="I26" i="5" s="1"/>
  <c r="N24" i="5"/>
  <c r="O24" i="5" s="1"/>
  <c r="P24" i="5" s="1"/>
  <c r="K24" i="5"/>
  <c r="H24" i="5"/>
  <c r="I24" i="5" s="1"/>
  <c r="N23" i="5"/>
  <c r="P23" i="5" s="1"/>
  <c r="K23" i="5"/>
  <c r="H23" i="5"/>
  <c r="I23" i="5" s="1"/>
  <c r="N110" i="1"/>
  <c r="O110" i="1" s="1"/>
  <c r="P110" i="1" s="1"/>
  <c r="K110" i="1"/>
  <c r="H110" i="1"/>
  <c r="I110" i="1" s="1"/>
  <c r="N109" i="1"/>
  <c r="O109" i="1" s="1"/>
  <c r="N108" i="1"/>
  <c r="O108" i="1" s="1"/>
  <c r="P108" i="1" s="1"/>
  <c r="K108" i="1"/>
  <c r="H108" i="1"/>
  <c r="I108" i="1" s="1"/>
  <c r="N107" i="1"/>
  <c r="O107" i="1" s="1"/>
  <c r="P107" i="1" s="1"/>
  <c r="K107" i="1"/>
  <c r="H107" i="1"/>
  <c r="I107" i="1" s="1"/>
  <c r="N106" i="1"/>
  <c r="O106" i="1" s="1"/>
  <c r="P106" i="1" s="1"/>
  <c r="Q106" i="1" s="1"/>
  <c r="N105" i="1"/>
  <c r="O105" i="1" s="1"/>
  <c r="P105" i="1" s="1"/>
  <c r="K105" i="1"/>
  <c r="H105" i="1"/>
  <c r="I105" i="1" s="1"/>
  <c r="N104" i="1"/>
  <c r="O104" i="1" s="1"/>
  <c r="P104" i="1" s="1"/>
  <c r="K104" i="1"/>
  <c r="H104" i="1"/>
  <c r="I104" i="1" s="1"/>
  <c r="N103" i="1"/>
  <c r="O103" i="1" s="1"/>
  <c r="P103" i="1" s="1"/>
  <c r="Q103" i="1" s="1"/>
  <c r="N102" i="1"/>
  <c r="O102" i="1" s="1"/>
  <c r="P102" i="1" s="1"/>
  <c r="K102" i="1"/>
  <c r="H102" i="1"/>
  <c r="I102" i="1" s="1"/>
  <c r="N101" i="1"/>
  <c r="O101" i="1" s="1"/>
  <c r="P101" i="1" s="1"/>
  <c r="K101" i="1"/>
  <c r="H101" i="1"/>
  <c r="I101" i="1" s="1"/>
  <c r="N100" i="1"/>
  <c r="O100" i="1" s="1"/>
  <c r="N99" i="1"/>
  <c r="O99" i="1" s="1"/>
  <c r="P99" i="1" s="1"/>
  <c r="K99" i="1"/>
  <c r="H99" i="1"/>
  <c r="I99" i="1" s="1"/>
  <c r="N98" i="1"/>
  <c r="O98" i="1" s="1"/>
  <c r="P98" i="1" s="1"/>
  <c r="K98" i="1"/>
  <c r="H98" i="1"/>
  <c r="I98" i="1" s="1"/>
  <c r="N97" i="1"/>
  <c r="O97" i="1" s="1"/>
  <c r="P97" i="1" s="1"/>
  <c r="Q97" i="1" s="1"/>
  <c r="N96" i="1"/>
  <c r="O96" i="1" s="1"/>
  <c r="P96" i="1" s="1"/>
  <c r="N95" i="1"/>
  <c r="O95" i="1" s="1"/>
  <c r="P95" i="1" s="1"/>
  <c r="K95" i="1"/>
  <c r="H95" i="1"/>
  <c r="I95" i="1" s="1"/>
  <c r="N94" i="1"/>
  <c r="O94" i="1" s="1"/>
  <c r="P94" i="1" s="1"/>
  <c r="K94" i="1"/>
  <c r="H94" i="1"/>
  <c r="I94" i="1" s="1"/>
  <c r="N93" i="1"/>
  <c r="O93" i="1" s="1"/>
  <c r="P93" i="1" s="1"/>
  <c r="Q93" i="1" s="1"/>
  <c r="N92" i="1"/>
  <c r="O92" i="1" s="1"/>
  <c r="P92" i="1" s="1"/>
  <c r="Q92" i="1" s="1"/>
  <c r="N91" i="1"/>
  <c r="O91" i="1" s="1"/>
  <c r="P91" i="1" s="1"/>
  <c r="K91" i="1"/>
  <c r="H91" i="1"/>
  <c r="I91" i="1" s="1"/>
  <c r="N90" i="1"/>
  <c r="O90" i="1" s="1"/>
  <c r="P90" i="1" s="1"/>
  <c r="K90" i="1"/>
  <c r="H90" i="1"/>
  <c r="I90" i="1" s="1"/>
  <c r="N89" i="1"/>
  <c r="O89" i="1" s="1"/>
  <c r="P89" i="1" s="1"/>
  <c r="Q89" i="1" s="1"/>
  <c r="N88" i="1"/>
  <c r="O88" i="1" s="1"/>
  <c r="P88" i="1" s="1"/>
  <c r="Q88" i="1" s="1"/>
  <c r="N87" i="1"/>
  <c r="O87" i="1" s="1"/>
  <c r="P87" i="1" s="1"/>
  <c r="K87" i="1"/>
  <c r="H87" i="1"/>
  <c r="I87" i="1" s="1"/>
  <c r="N86" i="1"/>
  <c r="O86" i="1" s="1"/>
  <c r="P86" i="1" s="1"/>
  <c r="K86" i="1"/>
  <c r="H86" i="1"/>
  <c r="I86" i="1" s="1"/>
  <c r="N85" i="1"/>
  <c r="O85" i="1" s="1"/>
  <c r="P85" i="1" s="1"/>
  <c r="Q85" i="1" s="1"/>
  <c r="N84" i="1"/>
  <c r="O84" i="1" s="1"/>
  <c r="P84" i="1" s="1"/>
  <c r="K84" i="1"/>
  <c r="H84" i="1"/>
  <c r="I84" i="1" s="1"/>
  <c r="N83" i="1"/>
  <c r="O83" i="1" s="1"/>
  <c r="P83" i="1" s="1"/>
  <c r="K83" i="1"/>
  <c r="H83" i="1"/>
  <c r="I83" i="1" s="1"/>
  <c r="N82" i="1"/>
  <c r="O82" i="1" s="1"/>
  <c r="N81" i="1"/>
  <c r="O81" i="1" s="1"/>
  <c r="N80" i="1"/>
  <c r="O80" i="1" s="1"/>
  <c r="N79" i="1"/>
  <c r="O79" i="1" s="1"/>
  <c r="N78" i="1"/>
  <c r="O78" i="1" s="1"/>
  <c r="N77" i="1"/>
  <c r="O77" i="1" s="1"/>
  <c r="N76" i="1"/>
  <c r="O76" i="1" s="1"/>
  <c r="N75" i="1"/>
  <c r="O75" i="1" s="1"/>
  <c r="N74" i="1"/>
  <c r="O74" i="1" s="1"/>
  <c r="N73" i="1"/>
  <c r="O73" i="1" s="1"/>
  <c r="N72" i="1"/>
  <c r="O72" i="1" s="1"/>
  <c r="N71" i="1"/>
  <c r="O71" i="1" s="1"/>
  <c r="P71" i="1" s="1"/>
  <c r="K71" i="1"/>
  <c r="H71" i="1"/>
  <c r="I71" i="1" s="1"/>
  <c r="N70" i="1"/>
  <c r="O70" i="1" s="1"/>
  <c r="P70" i="1" s="1"/>
  <c r="K70" i="1"/>
  <c r="H70" i="1"/>
  <c r="I70" i="1" s="1"/>
  <c r="N68" i="1"/>
  <c r="O68" i="1" s="1"/>
  <c r="P68" i="1" s="1"/>
  <c r="K68" i="1"/>
  <c r="H68" i="1"/>
  <c r="I68" i="1" s="1"/>
  <c r="N67" i="1"/>
  <c r="O67" i="1" s="1"/>
  <c r="P67" i="1" s="1"/>
  <c r="K67" i="1"/>
  <c r="H67" i="1"/>
  <c r="I67" i="1" s="1"/>
  <c r="N66" i="1"/>
  <c r="O66" i="1" s="1"/>
  <c r="N65" i="1"/>
  <c r="O65" i="1" s="1"/>
  <c r="P65" i="1" s="1"/>
  <c r="K65" i="1"/>
  <c r="H65" i="1"/>
  <c r="I65" i="1" s="1"/>
  <c r="N64" i="1"/>
  <c r="O64" i="1" s="1"/>
  <c r="P64" i="1" s="1"/>
  <c r="K64" i="1"/>
  <c r="H64" i="1"/>
  <c r="I64" i="1" s="1"/>
  <c r="N63" i="1"/>
  <c r="O63" i="1" s="1"/>
  <c r="N62" i="1"/>
  <c r="O62" i="1" s="1"/>
  <c r="P62" i="1" s="1"/>
  <c r="K62" i="1"/>
  <c r="H62" i="1"/>
  <c r="I62" i="1" s="1"/>
  <c r="N61" i="1"/>
  <c r="O61" i="1" s="1"/>
  <c r="P61" i="1" s="1"/>
  <c r="K61" i="1"/>
  <c r="H61" i="1"/>
  <c r="I61" i="1" s="1"/>
  <c r="N60" i="1"/>
  <c r="O60" i="1" s="1"/>
  <c r="N59" i="1"/>
  <c r="O59" i="1" s="1"/>
  <c r="N58" i="1"/>
  <c r="O58" i="1" s="1"/>
  <c r="P58" i="1" s="1"/>
  <c r="K58" i="1"/>
  <c r="H58" i="1"/>
  <c r="I58" i="1" s="1"/>
  <c r="N57" i="1"/>
  <c r="O57" i="1" s="1"/>
  <c r="P57" i="1" s="1"/>
  <c r="K57" i="1"/>
  <c r="H57" i="1"/>
  <c r="I57" i="1" s="1"/>
  <c r="N56" i="1"/>
  <c r="O56" i="1" s="1"/>
  <c r="N55" i="1"/>
  <c r="O55" i="1" s="1"/>
  <c r="P55" i="1" s="1"/>
  <c r="K55" i="1"/>
  <c r="H55" i="1"/>
  <c r="I55" i="1" s="1"/>
  <c r="N54" i="1"/>
  <c r="O54" i="1" s="1"/>
  <c r="P54" i="1" s="1"/>
  <c r="K54" i="1"/>
  <c r="H54" i="1"/>
  <c r="I54" i="1" s="1"/>
  <c r="N53" i="1"/>
  <c r="O53" i="1" s="1"/>
  <c r="N52" i="1"/>
  <c r="O52" i="1" s="1"/>
  <c r="N51" i="1"/>
  <c r="O51" i="1" s="1"/>
  <c r="P51" i="1" s="1"/>
  <c r="K51" i="1"/>
  <c r="H51" i="1"/>
  <c r="I51" i="1" s="1"/>
  <c r="N50" i="1"/>
  <c r="O50" i="1" s="1"/>
  <c r="P50" i="1" s="1"/>
  <c r="K50" i="1"/>
  <c r="H50" i="1"/>
  <c r="I50" i="1" s="1"/>
  <c r="N49" i="1"/>
  <c r="O49" i="1" s="1"/>
  <c r="N48" i="1"/>
  <c r="O48" i="1" s="1"/>
  <c r="P48" i="1" s="1"/>
  <c r="K48" i="1"/>
  <c r="H48" i="1"/>
  <c r="I48" i="1" s="1"/>
  <c r="N47" i="1"/>
  <c r="O47" i="1" s="1"/>
  <c r="P47" i="1" s="1"/>
  <c r="K47" i="1"/>
  <c r="H47" i="1"/>
  <c r="I47" i="1" s="1"/>
  <c r="N46" i="1"/>
  <c r="O46" i="1" s="1"/>
  <c r="N45" i="1"/>
  <c r="O45" i="1" s="1"/>
  <c r="P45" i="1" s="1"/>
  <c r="K45" i="1"/>
  <c r="H45" i="1"/>
  <c r="I45" i="1" s="1"/>
  <c r="N44" i="1"/>
  <c r="O44" i="1" s="1"/>
  <c r="P44" i="1" s="1"/>
  <c r="K44" i="1"/>
  <c r="H44" i="1"/>
  <c r="I44" i="1" s="1"/>
  <c r="N43" i="1"/>
  <c r="O43" i="1" s="1"/>
  <c r="N42" i="1"/>
  <c r="O42" i="1" s="1"/>
  <c r="P42" i="1" s="1"/>
  <c r="K42" i="1"/>
  <c r="H42" i="1"/>
  <c r="I42" i="1" s="1"/>
  <c r="N41" i="1"/>
  <c r="O41" i="1" s="1"/>
  <c r="P41" i="1" s="1"/>
  <c r="K41" i="1"/>
  <c r="H41" i="1"/>
  <c r="I41" i="1" s="1"/>
  <c r="N40" i="1"/>
  <c r="O40" i="1" s="1"/>
  <c r="N38" i="1"/>
  <c r="O38" i="1" s="1"/>
  <c r="P38" i="1" s="1"/>
  <c r="N37" i="1"/>
  <c r="O37" i="1" s="1"/>
  <c r="P37" i="1" s="1"/>
  <c r="K37" i="1"/>
  <c r="H37" i="1"/>
  <c r="I37" i="1" s="1"/>
  <c r="N36" i="1"/>
  <c r="O36" i="1" s="1"/>
  <c r="P36" i="1" s="1"/>
  <c r="K36" i="1"/>
  <c r="H36" i="1"/>
  <c r="I36" i="1" s="1"/>
  <c r="N35" i="1"/>
  <c r="O35" i="1" s="1"/>
  <c r="P35" i="1" s="1"/>
  <c r="Q35" i="1" s="1"/>
  <c r="N34" i="1"/>
  <c r="O34" i="1" s="1"/>
  <c r="P34" i="1" s="1"/>
  <c r="K34" i="1"/>
  <c r="H34" i="1"/>
  <c r="I34" i="1" s="1"/>
  <c r="N33" i="1"/>
  <c r="O33" i="1" s="1"/>
  <c r="P33" i="1" s="1"/>
  <c r="K33" i="1"/>
  <c r="H33" i="1"/>
  <c r="I33" i="1" s="1"/>
  <c r="N32" i="1"/>
  <c r="O32" i="1" s="1"/>
  <c r="N31" i="1"/>
  <c r="O31" i="1" s="1"/>
  <c r="P31" i="1" s="1"/>
  <c r="O30" i="1"/>
  <c r="P30" i="1" s="1"/>
  <c r="N29" i="1"/>
  <c r="O29" i="1" s="1"/>
  <c r="P29" i="1" s="1"/>
  <c r="N28" i="1"/>
  <c r="O28" i="1" s="1"/>
  <c r="P28" i="1" s="1"/>
  <c r="N27" i="1"/>
  <c r="O27" i="1" s="1"/>
  <c r="P27" i="1" s="1"/>
  <c r="K27" i="1"/>
  <c r="H27" i="1"/>
  <c r="I27" i="1" s="1"/>
  <c r="N26" i="1"/>
  <c r="O26" i="1" s="1"/>
  <c r="P26" i="1" s="1"/>
  <c r="K26" i="1"/>
  <c r="H26" i="1"/>
  <c r="I26" i="1" s="1"/>
  <c r="N24" i="1"/>
  <c r="O24" i="1" s="1"/>
  <c r="P24" i="1" s="1"/>
  <c r="K24" i="1"/>
  <c r="H24" i="1"/>
  <c r="I24" i="1" s="1"/>
  <c r="P23" i="1"/>
  <c r="Q78" i="5" l="1"/>
  <c r="Q133" i="5"/>
  <c r="Q126" i="5"/>
  <c r="Q35" i="5"/>
  <c r="Q50" i="5"/>
  <c r="Q54" i="5"/>
  <c r="Q67" i="5"/>
  <c r="Q82" i="5"/>
  <c r="Q108" i="5"/>
  <c r="Q121" i="5"/>
  <c r="Q144" i="5"/>
  <c r="Q109" i="5"/>
  <c r="Q169" i="5"/>
  <c r="Q155" i="5"/>
  <c r="Q156" i="5"/>
  <c r="Q162" i="5"/>
  <c r="Q42" i="5"/>
  <c r="Q47" i="5"/>
  <c r="Q100" i="5"/>
  <c r="Q111" i="5"/>
  <c r="Q125" i="5"/>
  <c r="Q158" i="5"/>
  <c r="Q36" i="5"/>
  <c r="Q151" i="5"/>
  <c r="Q74" i="5"/>
  <c r="Q147" i="5"/>
  <c r="O182" i="5"/>
  <c r="P182" i="5" s="1"/>
  <c r="Q183" i="5"/>
  <c r="Q182" i="5" s="1"/>
  <c r="O198" i="5"/>
  <c r="Q199" i="5"/>
  <c r="Q198" i="5" s="1"/>
  <c r="Q53" i="5"/>
  <c r="Q69" i="5"/>
  <c r="Q72" i="5"/>
  <c r="Q81" i="5"/>
  <c r="Q113" i="5"/>
  <c r="Q154" i="5"/>
  <c r="Q29" i="5"/>
  <c r="Q41" i="5"/>
  <c r="Q46" i="5"/>
  <c r="Q117" i="5"/>
  <c r="Q159" i="5"/>
  <c r="Q166" i="5"/>
  <c r="Q171" i="5"/>
  <c r="Q28" i="5"/>
  <c r="Q77" i="5"/>
  <c r="Q31" i="5"/>
  <c r="Q110" i="1"/>
  <c r="Q39" i="5"/>
  <c r="Q150" i="5"/>
  <c r="Q105" i="1"/>
  <c r="Q30" i="5"/>
  <c r="Q61" i="5"/>
  <c r="Q73" i="5"/>
  <c r="Q79" i="5"/>
  <c r="Q134" i="5"/>
  <c r="Q143" i="5"/>
  <c r="Q127" i="5"/>
  <c r="Q172" i="5"/>
  <c r="Q49" i="5"/>
  <c r="Q63" i="5"/>
  <c r="Q75" i="5"/>
  <c r="Q102" i="5"/>
  <c r="Q110" i="5"/>
  <c r="Q130" i="5"/>
  <c r="Q136" i="5"/>
  <c r="Q65" i="5"/>
  <c r="Q178" i="5"/>
  <c r="Q152" i="5"/>
  <c r="Q145" i="5"/>
  <c r="Q153" i="5"/>
  <c r="Q164" i="5"/>
  <c r="Q168" i="5"/>
  <c r="Q173" i="5"/>
  <c r="Q52" i="5"/>
  <c r="Q142" i="5"/>
  <c r="Q161" i="5"/>
  <c r="Q80" i="5"/>
  <c r="Q114" i="5"/>
  <c r="Q33" i="5"/>
  <c r="Q44" i="5"/>
  <c r="Q57" i="5"/>
  <c r="Q64" i="5"/>
  <c r="Q70" i="5"/>
  <c r="Q76" i="5"/>
  <c r="Q97" i="5"/>
  <c r="Q118" i="5"/>
  <c r="Q131" i="5"/>
  <c r="Q137" i="5"/>
  <c r="Q149" i="5"/>
  <c r="Q32" i="5"/>
  <c r="Q176" i="5"/>
  <c r="Q157" i="5"/>
  <c r="Q160" i="5"/>
  <c r="Q165" i="5"/>
  <c r="Q170" i="5"/>
  <c r="Q148" i="5"/>
  <c r="Q62" i="5"/>
  <c r="Q65" i="1"/>
  <c r="Q47" i="1"/>
  <c r="Q48" i="1"/>
  <c r="Q138" i="5"/>
  <c r="Q42" i="1"/>
  <c r="Q24" i="1"/>
  <c r="Q41" i="1"/>
  <c r="Q45" i="1"/>
  <c r="Q55" i="1"/>
  <c r="Q68" i="1"/>
  <c r="Q71" i="1"/>
  <c r="Q87" i="1"/>
  <c r="Q26" i="1"/>
  <c r="Q34" i="1"/>
  <c r="Q36" i="1"/>
  <c r="Q44" i="1"/>
  <c r="Q86" i="1"/>
  <c r="Q99" i="1"/>
  <c r="Q62" i="1"/>
  <c r="Q98" i="1"/>
  <c r="Q102" i="1"/>
  <c r="Q33" i="1"/>
  <c r="Q54" i="1"/>
  <c r="Q57" i="1"/>
  <c r="Q61" i="1"/>
  <c r="Q64" i="1"/>
  <c r="Q70" i="1"/>
  <c r="Q84" i="1"/>
  <c r="Q95" i="1"/>
  <c r="Q101" i="1"/>
  <c r="Q107" i="1"/>
  <c r="Q37" i="1"/>
  <c r="Q58" i="1"/>
  <c r="Q29" i="1"/>
  <c r="Q26" i="5"/>
  <c r="Q24" i="5"/>
  <c r="Q23" i="5"/>
  <c r="Q141" i="5"/>
  <c r="Q140" i="5"/>
  <c r="Q27" i="5"/>
  <c r="Q28" i="1"/>
  <c r="Q67" i="1"/>
  <c r="Q94" i="1"/>
  <c r="Q96" i="1"/>
  <c r="Q104" i="1"/>
  <c r="Q108" i="1"/>
  <c r="Q27" i="1"/>
  <c r="Q30" i="1"/>
  <c r="Q38" i="1"/>
  <c r="Q51" i="1"/>
  <c r="Q83" i="1"/>
  <c r="Q91" i="1"/>
  <c r="Q31" i="1"/>
  <c r="Q50" i="1"/>
  <c r="Q90" i="1"/>
  <c r="Q23" i="1"/>
  <c r="B24" i="1"/>
  <c r="B25" i="1"/>
  <c r="B26" i="1"/>
  <c r="B27" i="1"/>
  <c r="B33" i="1"/>
  <c r="B34" i="1"/>
  <c r="B36" i="1"/>
  <c r="B37" i="1"/>
  <c r="B41" i="1"/>
  <c r="B42" i="1"/>
  <c r="B44" i="1"/>
  <c r="B45" i="1"/>
  <c r="B47" i="1"/>
  <c r="B48" i="1"/>
  <c r="B50" i="1"/>
  <c r="B51" i="1"/>
  <c r="B54" i="1"/>
  <c r="B55" i="1"/>
  <c r="B57" i="1"/>
  <c r="B58" i="1"/>
  <c r="B61" i="1"/>
  <c r="B62" i="1"/>
  <c r="B64" i="1"/>
  <c r="B65" i="1"/>
  <c r="B67" i="1"/>
  <c r="B68" i="1"/>
  <c r="B70" i="1"/>
  <c r="B71" i="1"/>
  <c r="B83" i="1"/>
  <c r="B84" i="1"/>
  <c r="B86" i="1"/>
  <c r="B87" i="1"/>
  <c r="B90" i="1"/>
  <c r="B91" i="1"/>
  <c r="B94" i="1"/>
  <c r="B95" i="1"/>
  <c r="B98" i="1"/>
  <c r="B99" i="1"/>
  <c r="B101" i="1"/>
  <c r="B102" i="1"/>
  <c r="B104" i="1"/>
  <c r="B105" i="1"/>
  <c r="B107" i="1"/>
  <c r="B108" i="1"/>
  <c r="F32" i="1"/>
  <c r="F40" i="1"/>
  <c r="P40" i="1" s="1"/>
  <c r="B24" i="5"/>
  <c r="B25" i="5"/>
  <c r="B26" i="5"/>
  <c r="B27" i="5"/>
  <c r="B29" i="5"/>
  <c r="B30" i="5"/>
  <c r="B43" i="5"/>
  <c r="B44" i="5"/>
  <c r="B46" i="5"/>
  <c r="B47" i="5"/>
  <c r="B49" i="5"/>
  <c r="B50" i="5"/>
  <c r="B53" i="5"/>
  <c r="B54" i="5"/>
  <c r="B56" i="5"/>
  <c r="B57" i="5"/>
  <c r="B60" i="5"/>
  <c r="B61" i="5"/>
  <c r="B63" i="5"/>
  <c r="B64" i="5"/>
  <c r="B66" i="5"/>
  <c r="B67" i="5"/>
  <c r="B69" i="5"/>
  <c r="B70" i="5"/>
  <c r="B72" i="5"/>
  <c r="B73" i="5"/>
  <c r="B75" i="5"/>
  <c r="B76" i="5"/>
  <c r="B78" i="5"/>
  <c r="B79" i="5"/>
  <c r="B99" i="5"/>
  <c r="B100" i="5"/>
  <c r="B102" i="5"/>
  <c r="B103" i="5"/>
  <c r="B107" i="5"/>
  <c r="B108" i="5"/>
  <c r="B110" i="5"/>
  <c r="B111" i="5"/>
  <c r="B113" i="5"/>
  <c r="B114" i="5"/>
  <c r="B117" i="5"/>
  <c r="B118" i="5"/>
  <c r="B120" i="5"/>
  <c r="B121" i="5"/>
  <c r="B124" i="5"/>
  <c r="B125" i="5"/>
  <c r="B126" i="5"/>
  <c r="B127" i="5"/>
  <c r="B130" i="5"/>
  <c r="B131" i="5"/>
  <c r="B133" i="5"/>
  <c r="B134" i="5"/>
  <c r="B136" i="5"/>
  <c r="B137" i="5"/>
  <c r="B138" i="5"/>
  <c r="B139" i="5"/>
  <c r="B140" i="5"/>
  <c r="B141" i="5"/>
  <c r="B150" i="5"/>
  <c r="B151" i="5"/>
  <c r="B153" i="5"/>
  <c r="B154" i="5"/>
  <c r="B156" i="5"/>
  <c r="B157" i="5"/>
  <c r="B159" i="5"/>
  <c r="B160" i="5"/>
  <c r="B162" i="5"/>
  <c r="B163" i="5"/>
  <c r="B167" i="5"/>
  <c r="B168" i="5"/>
  <c r="B170" i="5"/>
  <c r="B171" i="5"/>
  <c r="B172" i="5"/>
  <c r="B173" i="5"/>
  <c r="B175" i="5"/>
  <c r="B176" i="5"/>
  <c r="B178" i="5"/>
  <c r="B179" i="5"/>
  <c r="F123" i="5"/>
  <c r="K123" i="5" s="1"/>
  <c r="F122" i="5"/>
  <c r="K122" i="5" s="1"/>
  <c r="F119" i="5"/>
  <c r="K119" i="5" s="1"/>
  <c r="F116" i="5"/>
  <c r="K116" i="5" s="1"/>
  <c r="F115" i="5"/>
  <c r="K115" i="5" s="1"/>
  <c r="F112" i="5"/>
  <c r="K112" i="5" s="1"/>
  <c r="F101" i="5"/>
  <c r="K101" i="5" s="1"/>
  <c r="F68" i="5"/>
  <c r="K68" i="5" s="1"/>
  <c r="F51" i="5"/>
  <c r="I51" i="5" s="1"/>
  <c r="F48" i="5"/>
  <c r="I48" i="5" s="1"/>
  <c r="F37" i="5"/>
  <c r="I37" i="5" s="1"/>
  <c r="F40" i="5"/>
  <c r="I40" i="5" s="1"/>
  <c r="F38" i="5"/>
  <c r="P198" i="5" l="1"/>
  <c r="R198" i="5"/>
  <c r="G28" i="2" s="1"/>
  <c r="R182" i="5"/>
  <c r="I68" i="5"/>
  <c r="P68" i="5"/>
  <c r="I101" i="5"/>
  <c r="P112" i="5"/>
  <c r="I112" i="5"/>
  <c r="P38" i="5"/>
  <c r="K38" i="5"/>
  <c r="P115" i="5"/>
  <c r="P40" i="5"/>
  <c r="Q40" i="5" s="1"/>
  <c r="K40" i="5"/>
  <c r="K32" i="1"/>
  <c r="I32" i="1"/>
  <c r="P32" i="1"/>
  <c r="P101" i="5"/>
  <c r="P48" i="5"/>
  <c r="Q48" i="5" s="1"/>
  <c r="K48" i="5"/>
  <c r="P116" i="5"/>
  <c r="P123" i="5"/>
  <c r="I116" i="5"/>
  <c r="P37" i="5"/>
  <c r="Q37" i="5" s="1"/>
  <c r="K37" i="5"/>
  <c r="I115" i="5"/>
  <c r="P51" i="5"/>
  <c r="Q51" i="5" s="1"/>
  <c r="K51" i="5"/>
  <c r="I123" i="5"/>
  <c r="P119" i="5"/>
  <c r="I119" i="5"/>
  <c r="P122" i="5"/>
  <c r="K40" i="1"/>
  <c r="I40" i="1"/>
  <c r="Q40" i="1" s="1"/>
  <c r="I38" i="5"/>
  <c r="I122" i="5"/>
  <c r="F177" i="5"/>
  <c r="F174" i="5"/>
  <c r="F146" i="5"/>
  <c r="F105" i="5"/>
  <c r="F104" i="5"/>
  <c r="F98" i="5"/>
  <c r="F95" i="5"/>
  <c r="F59" i="5"/>
  <c r="F58" i="5"/>
  <c r="F55" i="5"/>
  <c r="F45" i="5"/>
  <c r="F100" i="1"/>
  <c r="Q68" i="5" l="1"/>
  <c r="Q32" i="1"/>
  <c r="Q112" i="5"/>
  <c r="Q119" i="5"/>
  <c r="Q116" i="5"/>
  <c r="Q115" i="5"/>
  <c r="K146" i="5"/>
  <c r="I146" i="5"/>
  <c r="P146" i="5"/>
  <c r="K174" i="5"/>
  <c r="P174" i="5"/>
  <c r="I174" i="5"/>
  <c r="K98" i="5"/>
  <c r="I98" i="5"/>
  <c r="P98" i="5"/>
  <c r="Q38" i="5"/>
  <c r="Q123" i="5"/>
  <c r="K58" i="5"/>
  <c r="P58" i="5"/>
  <c r="I58" i="5"/>
  <c r="Q122" i="5"/>
  <c r="K104" i="5"/>
  <c r="P104" i="5"/>
  <c r="I104" i="5"/>
  <c r="P45" i="5"/>
  <c r="K45" i="5"/>
  <c r="I45" i="5"/>
  <c r="K55" i="5"/>
  <c r="P55" i="5"/>
  <c r="I55" i="5"/>
  <c r="K177" i="5"/>
  <c r="I177" i="5"/>
  <c r="P177" i="5"/>
  <c r="K59" i="5"/>
  <c r="I59" i="5"/>
  <c r="P59" i="5"/>
  <c r="K95" i="5"/>
  <c r="P95" i="5"/>
  <c r="I95" i="5"/>
  <c r="Q101" i="5"/>
  <c r="K100" i="1"/>
  <c r="I100" i="1"/>
  <c r="P100" i="1"/>
  <c r="K105" i="5"/>
  <c r="P105" i="5"/>
  <c r="I105" i="5"/>
  <c r="F180" i="5"/>
  <c r="F106" i="5"/>
  <c r="Q174" i="5" l="1"/>
  <c r="Q58" i="5"/>
  <c r="Q146" i="5"/>
  <c r="Q45" i="5"/>
  <c r="Q95" i="5"/>
  <c r="K106" i="5"/>
  <c r="I106" i="5"/>
  <c r="P106" i="5"/>
  <c r="Q177" i="5"/>
  <c r="Q104" i="5"/>
  <c r="Q100" i="1"/>
  <c r="K180" i="5"/>
  <c r="I180" i="5"/>
  <c r="H139" i="5" s="1"/>
  <c r="P180" i="5"/>
  <c r="O139" i="5" s="1"/>
  <c r="Q59" i="5"/>
  <c r="Q105" i="5"/>
  <c r="Q55" i="5"/>
  <c r="Q98" i="5"/>
  <c r="F135" i="5"/>
  <c r="F132" i="5"/>
  <c r="F129" i="5"/>
  <c r="F128" i="5"/>
  <c r="F81" i="1"/>
  <c r="F82" i="1"/>
  <c r="F79" i="1"/>
  <c r="F80" i="1"/>
  <c r="F77" i="1"/>
  <c r="F74" i="1"/>
  <c r="F73" i="1"/>
  <c r="F78" i="1"/>
  <c r="F76" i="1"/>
  <c r="F75" i="1"/>
  <c r="F72" i="1"/>
  <c r="F60" i="1"/>
  <c r="F59" i="1"/>
  <c r="F66" i="1"/>
  <c r="F63" i="1"/>
  <c r="F43" i="1"/>
  <c r="F46" i="1"/>
  <c r="F56" i="1"/>
  <c r="F53" i="1"/>
  <c r="F52" i="1"/>
  <c r="F109" i="1"/>
  <c r="F49" i="1"/>
  <c r="Q180" i="5" l="1"/>
  <c r="Q139" i="5" s="1"/>
  <c r="Q106" i="5"/>
  <c r="K74" i="1"/>
  <c r="I74" i="1"/>
  <c r="P74" i="1"/>
  <c r="K59" i="1"/>
  <c r="I59" i="1"/>
  <c r="P59" i="1"/>
  <c r="K77" i="1"/>
  <c r="I77" i="1"/>
  <c r="P77" i="1"/>
  <c r="K60" i="1"/>
  <c r="I60" i="1"/>
  <c r="P60" i="1"/>
  <c r="K72" i="1"/>
  <c r="I72" i="1"/>
  <c r="P72" i="1"/>
  <c r="K56" i="1"/>
  <c r="I56" i="1"/>
  <c r="P56" i="1"/>
  <c r="K75" i="1"/>
  <c r="I75" i="1"/>
  <c r="P75" i="1"/>
  <c r="K82" i="1"/>
  <c r="I82" i="1"/>
  <c r="P82" i="1"/>
  <c r="K63" i="1"/>
  <c r="I63" i="1"/>
  <c r="P63" i="1"/>
  <c r="K129" i="5"/>
  <c r="P129" i="5"/>
  <c r="I129" i="5"/>
  <c r="K66" i="1"/>
  <c r="I66" i="1"/>
  <c r="P66" i="1"/>
  <c r="K109" i="1"/>
  <c r="I109" i="1"/>
  <c r="P109" i="1"/>
  <c r="K135" i="5"/>
  <c r="P135" i="5"/>
  <c r="I135" i="5"/>
  <c r="K80" i="1"/>
  <c r="I80" i="1"/>
  <c r="P80" i="1"/>
  <c r="K79" i="1"/>
  <c r="I79" i="1"/>
  <c r="P79" i="1"/>
  <c r="K73" i="1"/>
  <c r="I73" i="1"/>
  <c r="P73" i="1"/>
  <c r="K49" i="1"/>
  <c r="I49" i="1"/>
  <c r="P49" i="1"/>
  <c r="K132" i="5"/>
  <c r="P132" i="5"/>
  <c r="I132" i="5"/>
  <c r="K52" i="1"/>
  <c r="I52" i="1"/>
  <c r="P52" i="1"/>
  <c r="K53" i="1"/>
  <c r="I53" i="1"/>
  <c r="P53" i="1"/>
  <c r="K46" i="1"/>
  <c r="I46" i="1"/>
  <c r="P46" i="1"/>
  <c r="K76" i="1"/>
  <c r="I76" i="1"/>
  <c r="P76" i="1"/>
  <c r="Q76" i="1" s="1"/>
  <c r="K81" i="1"/>
  <c r="I81" i="1"/>
  <c r="P81" i="1"/>
  <c r="K43" i="1"/>
  <c r="I43" i="1"/>
  <c r="P43" i="1"/>
  <c r="K78" i="1"/>
  <c r="I78" i="1"/>
  <c r="P78" i="1"/>
  <c r="K128" i="5"/>
  <c r="P128" i="5"/>
  <c r="I128" i="5"/>
  <c r="B22" i="5"/>
  <c r="B110" i="1"/>
  <c r="B22" i="1"/>
  <c r="Q80" i="1" l="1"/>
  <c r="Q74" i="1"/>
  <c r="Q56" i="1"/>
  <c r="Q43" i="1"/>
  <c r="Q53" i="1"/>
  <c r="Q73" i="1"/>
  <c r="Q60" i="1"/>
  <c r="Q66" i="1"/>
  <c r="Q109" i="1"/>
  <c r="Q81" i="1"/>
  <c r="Q79" i="1"/>
  <c r="Q46" i="1"/>
  <c r="Q135" i="5"/>
  <c r="Q128" i="5"/>
  <c r="Q132" i="5"/>
  <c r="Q129" i="5"/>
  <c r="Q72" i="1"/>
  <c r="Q75" i="1"/>
  <c r="Q78" i="1"/>
  <c r="Q49" i="1"/>
  <c r="Q63" i="1"/>
  <c r="Q59" i="1"/>
  <c r="H25" i="1"/>
  <c r="Q82" i="1"/>
  <c r="Q52" i="1"/>
  <c r="Q77" i="1"/>
  <c r="B23" i="5"/>
  <c r="B28" i="5" s="1"/>
  <c r="B23" i="1"/>
  <c r="B28" i="1" s="1"/>
  <c r="B20" i="1"/>
  <c r="I139" i="5"/>
  <c r="P139" i="5"/>
  <c r="Q25" i="5" l="1"/>
  <c r="B31" i="5"/>
  <c r="B29" i="1"/>
  <c r="R139" i="5"/>
  <c r="B32" i="5" l="1"/>
  <c r="B30" i="1"/>
  <c r="B33" i="5" l="1"/>
  <c r="B31" i="1"/>
  <c r="B34" i="5" l="1"/>
  <c r="B32" i="1"/>
  <c r="B35" i="1" s="1"/>
  <c r="B38" i="1" s="1"/>
  <c r="B23" i="2"/>
  <c r="B20" i="2"/>
  <c r="O25" i="5"/>
  <c r="H25" i="5"/>
  <c r="N22" i="5"/>
  <c r="O22" i="5" s="1"/>
  <c r="P22" i="5" s="1"/>
  <c r="K22" i="5"/>
  <c r="R14" i="5" s="1"/>
  <c r="H22" i="5"/>
  <c r="I22" i="5" s="1"/>
  <c r="B21" i="5"/>
  <c r="B20" i="5"/>
  <c r="B35" i="5" l="1"/>
  <c r="B36" i="5" s="1"/>
  <c r="B37" i="5" s="1"/>
  <c r="B38" i="5" s="1"/>
  <c r="B39" i="1"/>
  <c r="H21" i="5"/>
  <c r="I21" i="5" s="1"/>
  <c r="O21" i="5"/>
  <c r="P21" i="5" s="1"/>
  <c r="Q22" i="5"/>
  <c r="B39" i="5" l="1"/>
  <c r="B40" i="5" s="1"/>
  <c r="B41" i="5" s="1"/>
  <c r="B40" i="1"/>
  <c r="B43" i="1" s="1"/>
  <c r="B46" i="1" s="1"/>
  <c r="B49" i="1" s="1"/>
  <c r="B52" i="1" s="1"/>
  <c r="B53" i="1" s="1"/>
  <c r="B56" i="1" s="1"/>
  <c r="B59" i="1" s="1"/>
  <c r="B60" i="1" s="1"/>
  <c r="B63" i="1" s="1"/>
  <c r="B66" i="1" s="1"/>
  <c r="B69" i="1" s="1"/>
  <c r="B72" i="1" s="1"/>
  <c r="B73" i="1" s="1"/>
  <c r="B74" i="1" s="1"/>
  <c r="B75" i="1" s="1"/>
  <c r="B76" i="1" s="1"/>
  <c r="B77" i="1" s="1"/>
  <c r="B78" i="1" s="1"/>
  <c r="B79" i="1" s="1"/>
  <c r="B80" i="1" s="1"/>
  <c r="B81" i="1" s="1"/>
  <c r="B82" i="1" s="1"/>
  <c r="B85" i="1" s="1"/>
  <c r="B88" i="1" s="1"/>
  <c r="B89" i="1" s="1"/>
  <c r="B92" i="1" s="1"/>
  <c r="B93" i="1" s="1"/>
  <c r="B96" i="1" s="1"/>
  <c r="B97" i="1" s="1"/>
  <c r="B100" i="1" s="1"/>
  <c r="B103" i="1" s="1"/>
  <c r="B106" i="1" s="1"/>
  <c r="B109" i="1" s="1"/>
  <c r="P25" i="5"/>
  <c r="I25" i="5"/>
  <c r="Q21" i="5"/>
  <c r="R21" i="5" s="1"/>
  <c r="R5" i="5" l="1"/>
  <c r="E22" i="2" s="1"/>
  <c r="R6" i="5"/>
  <c r="R9" i="5" s="1"/>
  <c r="B42" i="5"/>
  <c r="B45" i="5" s="1"/>
  <c r="B48" i="5" s="1"/>
  <c r="B51" i="5" s="1"/>
  <c r="B52" i="5" s="1"/>
  <c r="B55" i="5" s="1"/>
  <c r="B58" i="5" s="1"/>
  <c r="B59" i="5" s="1"/>
  <c r="B62" i="5" s="1"/>
  <c r="B65" i="5" s="1"/>
  <c r="B68" i="5" s="1"/>
  <c r="B71" i="5" s="1"/>
  <c r="B74" i="5" s="1"/>
  <c r="B77" i="5" s="1"/>
  <c r="B80" i="5" s="1"/>
  <c r="B83" i="5" s="1"/>
  <c r="B86" i="5" s="1"/>
  <c r="B89" i="5" s="1"/>
  <c r="B92" i="5" s="1"/>
  <c r="B95" i="5" s="1"/>
  <c r="B98" i="5" s="1"/>
  <c r="R25" i="5"/>
  <c r="F22" i="2" l="1"/>
  <c r="R7" i="5"/>
  <c r="R8" i="5"/>
  <c r="B101" i="5" l="1"/>
  <c r="B104" i="5" s="1"/>
  <c r="B105" i="5" s="1"/>
  <c r="B106" i="5" s="1"/>
  <c r="B109" i="5" s="1"/>
  <c r="B112" i="5" s="1"/>
  <c r="B115" i="5" s="1"/>
  <c r="B116" i="5" s="1"/>
  <c r="B119" i="5" s="1"/>
  <c r="B122" i="5" s="1"/>
  <c r="B123" i="5" s="1"/>
  <c r="B128" i="5" s="1"/>
  <c r="B129" i="5" s="1"/>
  <c r="B132" i="5" s="1"/>
  <c r="B135" i="5" s="1"/>
  <c r="B142" i="5" s="1"/>
  <c r="B143" i="5" s="1"/>
  <c r="B144" i="5" s="1"/>
  <c r="B145" i="5" s="1"/>
  <c r="B146" i="5" s="1"/>
  <c r="B147" i="5" s="1"/>
  <c r="B148" i="5" s="1"/>
  <c r="B149" i="5" s="1"/>
  <c r="B152" i="5" s="1"/>
  <c r="B155" i="5" s="1"/>
  <c r="B158" i="5" s="1"/>
  <c r="B161" i="5" s="1"/>
  <c r="B164" i="5" s="1"/>
  <c r="B165" i="5" s="1"/>
  <c r="B166" i="5" s="1"/>
  <c r="B169" i="5" s="1"/>
  <c r="B174" i="5" s="1"/>
  <c r="B177" i="5" s="1"/>
  <c r="B180" i="5" s="1"/>
  <c r="B185" i="5" s="1"/>
  <c r="B188" i="5" s="1"/>
  <c r="B191" i="5" s="1"/>
  <c r="B201" i="5" s="1"/>
  <c r="B202" i="5" s="1"/>
  <c r="B203" i="5" s="1"/>
  <c r="R12" i="5"/>
  <c r="R10" i="5"/>
  <c r="R11" i="5" s="1"/>
  <c r="R13" i="5" l="1"/>
  <c r="G22" i="2" s="1"/>
  <c r="B29" i="2"/>
  <c r="E14" i="2" l="1"/>
  <c r="O25" i="1" l="1"/>
  <c r="P25" i="1" s="1"/>
  <c r="I25" i="1"/>
  <c r="Q25" i="1" l="1"/>
  <c r="R25" i="1" s="1"/>
  <c r="N22" i="1"/>
  <c r="O22" i="1" s="1"/>
  <c r="P22" i="1" s="1"/>
  <c r="O21" i="1" s="1"/>
  <c r="K22" i="1"/>
  <c r="R14" i="1" s="1"/>
  <c r="H22" i="1"/>
  <c r="I22" i="1" s="1"/>
  <c r="H21" i="1" s="1"/>
  <c r="R5" i="1" l="1"/>
  <c r="E21" i="2" s="1"/>
  <c r="P21" i="1"/>
  <c r="R6" i="1"/>
  <c r="F21" i="2" s="1"/>
  <c r="Q22" i="1"/>
  <c r="Q21" i="1" s="1"/>
  <c r="R9" i="1" l="1"/>
  <c r="R21" i="1"/>
  <c r="I21" i="1"/>
  <c r="R7" i="1"/>
  <c r="R12" i="1" l="1"/>
  <c r="B21" i="1"/>
  <c r="R8" i="1" l="1"/>
  <c r="R10" i="1" l="1"/>
  <c r="R11" i="1" l="1"/>
  <c r="R13" i="1" l="1"/>
  <c r="G21" i="2" s="1"/>
  <c r="B21" i="2" s="1"/>
  <c r="B22" i="2" l="1"/>
  <c r="B28" i="2" s="1"/>
  <c r="G24" i="2"/>
</calcChain>
</file>

<file path=xl/sharedStrings.xml><?xml version="1.0" encoding="utf-8"?>
<sst xmlns="http://schemas.openxmlformats.org/spreadsheetml/2006/main" count="605" uniqueCount="271">
  <si>
    <t>CONSTRUCTION COST ESTIMATE BREAKDOWN</t>
  </si>
  <si>
    <t>ITEM DESCRIPTION</t>
  </si>
  <si>
    <t>CONTRACTOR</t>
  </si>
  <si>
    <t>ADDRESS</t>
  </si>
  <si>
    <t>LINE
TOTAL</t>
  </si>
  <si>
    <t>LINE
NO.</t>
  </si>
  <si>
    <t>UNIT OF
MEASURE</t>
  </si>
  <si>
    <t>LABOR
HOURS</t>
  </si>
  <si>
    <t>GENERAL REQUIREMENTS</t>
  </si>
  <si>
    <t>CONCRETE</t>
  </si>
  <si>
    <t>TOTAL COST</t>
  </si>
  <si>
    <t>UNIT PRICE</t>
  </si>
  <si>
    <t>LABOR</t>
  </si>
  <si>
    <t>MATERIAL</t>
  </si>
  <si>
    <t xml:space="preserve">QUANTITY </t>
  </si>
  <si>
    <t>UNIT LABOR HOUR</t>
  </si>
  <si>
    <t>EXTERIOR IMPROVEMENTS</t>
  </si>
  <si>
    <t>PROJECT LOCATION</t>
  </si>
  <si>
    <t>TOTAL MATERIAL COST</t>
  </si>
  <si>
    <t>TOTAL LABOR COST</t>
  </si>
  <si>
    <t>SUBTOTAL</t>
  </si>
  <si>
    <t>SALES TAX</t>
  </si>
  <si>
    <t>LABOR BURDEN</t>
  </si>
  <si>
    <t>BONDING</t>
  </si>
  <si>
    <t xml:space="preserve">CONTINGENCY / WASTAGE </t>
  </si>
  <si>
    <t>PROPOSED PROJECT AMOUNT</t>
  </si>
  <si>
    <t>SCOPE OF WORK</t>
  </si>
  <si>
    <t>DATE</t>
  </si>
  <si>
    <t>OVERHEAD &amp; PROFIT</t>
  </si>
  <si>
    <t>TOTAL MANHOURS</t>
  </si>
  <si>
    <t>DIV. 01</t>
  </si>
  <si>
    <t>DIV. 03</t>
  </si>
  <si>
    <t>DIV. 32</t>
  </si>
  <si>
    <t>DWG REF./
CSI SEC.</t>
  </si>
  <si>
    <t>CREW</t>
  </si>
  <si>
    <t>LABOR RATE</t>
  </si>
  <si>
    <t>PROJECT NAME</t>
  </si>
  <si>
    <t>SUBTOTAL MATERIAL</t>
  </si>
  <si>
    <t>SUBTOTAL LABOR</t>
  </si>
  <si>
    <t>SUMMARY</t>
  </si>
  <si>
    <t>TOTAL PROJECT COST</t>
  </si>
  <si>
    <t>TRADE
TOTAL W/ S.TAX, O&amp;P</t>
  </si>
  <si>
    <t>CSI DIV.</t>
  </si>
  <si>
    <t>DESCRIPTION</t>
  </si>
  <si>
    <t>MATERIAL COST</t>
  </si>
  <si>
    <t>LABOR
COST</t>
  </si>
  <si>
    <t>TOTAL
COST</t>
  </si>
  <si>
    <t>LINE NO.</t>
  </si>
  <si>
    <t>SF</t>
  </si>
  <si>
    <t>CY</t>
  </si>
  <si>
    <t>LF</t>
  </si>
  <si>
    <t>EXCAVATION</t>
  </si>
  <si>
    <t>BACKFILL</t>
  </si>
  <si>
    <t>HAULOFF/IMPORT</t>
  </si>
  <si>
    <t>HAULING OFF EXTRA MATERIAL</t>
  </si>
  <si>
    <t>SIDEWALK</t>
  </si>
  <si>
    <t>SITE WORK</t>
  </si>
  <si>
    <t>BASE BID</t>
  </si>
  <si>
    <t>CURB</t>
  </si>
  <si>
    <t>PERMITS, SITE SUPERVISION, FINAL CLEANUP &amp; DUMPSTER</t>
  </si>
  <si>
    <t>LS</t>
  </si>
  <si>
    <t>S102</t>
  </si>
  <si>
    <t>EXCAVATION PROVIDED FOR FOOTING</t>
  </si>
  <si>
    <t>BACKFILL PROVIDED FOR FOOTING</t>
  </si>
  <si>
    <t>SLAB ON GRADE</t>
  </si>
  <si>
    <t>SLAB EDGE</t>
  </si>
  <si>
    <t>CONTROL JOINTS</t>
  </si>
  <si>
    <t>GYPCRETE TOPPING</t>
  </si>
  <si>
    <t>WIRE MESH</t>
  </si>
  <si>
    <t>VAPOR BARRIER</t>
  </si>
  <si>
    <t>FOUNDATION WALL</t>
  </si>
  <si>
    <t>WALL FOOTINGS</t>
  </si>
  <si>
    <t>REINFORCEMENT</t>
  </si>
  <si>
    <t>LBS</t>
  </si>
  <si>
    <t>FORMWORK</t>
  </si>
  <si>
    <t>FORMWORK REQUIRED</t>
  </si>
  <si>
    <t>BUILDING EARTHWORK</t>
  </si>
  <si>
    <t>INSULATION</t>
  </si>
  <si>
    <t>WATERPROOFING</t>
  </si>
  <si>
    <t>STEM WALL</t>
  </si>
  <si>
    <t>8" THK. CONCRETE WALL 
- #4 HORIZONTAL BARS @ 12" O.C. 
- #5 VERTICAL BARS @ 12" O.C. 
-  #5 DOWELS @ 12" O.C.
- 2x4 CONTINUOUS KEYWAY W/ WATERSTOP</t>
  </si>
  <si>
    <t>12"W x 2'-8"H CONCRETE STEM WALL 
-  #4 BARS @ 12" O.C. EACHWAY
- 2x4 CONTINUOUS KEYWAY W/ WATERSTOP</t>
  </si>
  <si>
    <t>3/4" GYPCRETE UNDERLAYMENT</t>
  </si>
  <si>
    <t>1" GYPCRETE UNDERLAYMENT</t>
  </si>
  <si>
    <t>4" THK. NORMAL WEIGHT CONCRETE SLAB ON GRADE OVER 10 MIL POLYETHYLENE VAPOR BARRIER, REINFORCED W/ 6x6 W2.9xW2.9 W.W.F. AT MID DEPTH</t>
  </si>
  <si>
    <t>28" MAT SLAB REINFORCEMENT W/ #5 @12" TOP &amp; BOTTOM INNER AND OUTER LAYER</t>
  </si>
  <si>
    <t>12" THK.  SLAB ON GRADE  W/ #4 BARS @ 12" O.C. EACHWAY</t>
  </si>
  <si>
    <t>12" THK. ELEVATOR MAT SLAB REINFORCEMENT W/ #5 @12" O.C. TOP &amp; BOTTOM INNER LAYER</t>
  </si>
  <si>
    <t>11" x 1'-8"H THICKENED EDGE CONCRETE SLAB W/ #5 BARS @ 12" O.C. EACHWAY</t>
  </si>
  <si>
    <t>CONTROL JOINTS AT SLAB ON GRADE</t>
  </si>
  <si>
    <t xml:space="preserve"> 6x6 W2.9xW2.9 W.W.F. AT MID DEPTH ON SLAB</t>
  </si>
  <si>
    <t>2'-0"W x 1'-0" CONTINUOUS FOOTING W/
- 2 #5 BARS CONTINUOUS BARS</t>
  </si>
  <si>
    <t>PIERS FOOTINGS</t>
  </si>
  <si>
    <r>
      <rPr>
        <b/>
        <sz val="10"/>
        <rFont val="Calibri"/>
        <family val="2"/>
        <scheme val="minor"/>
      </rPr>
      <t>F3.0:</t>
    </r>
    <r>
      <rPr>
        <sz val="10"/>
        <rFont val="Calibri"/>
        <family val="2"/>
        <scheme val="minor"/>
      </rPr>
      <t xml:space="preserve"> 3'-0" x 3'-0" x 1'-0"D ISOLATED FOOTING W/
- (4) #4 BARS EACHWAY</t>
    </r>
  </si>
  <si>
    <r>
      <rPr>
        <b/>
        <sz val="10"/>
        <rFont val="Calibri"/>
        <family val="2"/>
        <scheme val="minor"/>
      </rPr>
      <t>P1:</t>
    </r>
    <r>
      <rPr>
        <sz val="10"/>
        <rFont val="Calibri"/>
        <family val="2"/>
        <scheme val="minor"/>
      </rPr>
      <t xml:space="preserve"> 12"x12" CONCRETE PIERS W/
- (4) # VERTICAL BARS
- #3 TIES @ 8" O.C.</t>
    </r>
  </si>
  <si>
    <t>#5 BARS AT SLAB ON GRADE</t>
  </si>
  <si>
    <t>#4 BARS AT SLAB ON GRADE</t>
  </si>
  <si>
    <t>#4 BARS AT CONCRETE WALLS</t>
  </si>
  <si>
    <t>#5 BARS AT CONCRETE WALLS</t>
  </si>
  <si>
    <t>#5 BARS AT CONTINUOUS FOOTING</t>
  </si>
  <si>
    <t>#4 BARS AT PIERS FOOTING</t>
  </si>
  <si>
    <t xml:space="preserve">#5 BARS AT CONCRETE PIERS </t>
  </si>
  <si>
    <t xml:space="preserve">#3 TIES AT CONCRETE PIERS </t>
  </si>
  <si>
    <t>CONCRETE BEAM OVER OPENING</t>
  </si>
  <si>
    <r>
      <t>8" x 1'-8"H CONCRETE BEAM</t>
    </r>
    <r>
      <rPr>
        <b/>
        <sz val="10"/>
        <rFont val="Calibri"/>
        <family val="2"/>
        <scheme val="minor"/>
      </rPr>
      <t xml:space="preserve"> </t>
    </r>
    <r>
      <rPr>
        <sz val="10"/>
        <rFont val="Calibri"/>
        <family val="2"/>
        <scheme val="minor"/>
      </rPr>
      <t>W/
- (2) #4 TOP BARS
- (2) #6 BOTTOM BARS
- #3 STIRRUPS @ 6" O.C.</t>
    </r>
  </si>
  <si>
    <r>
      <t>8" x 1'-5"H CONCRETE BEAM</t>
    </r>
    <r>
      <rPr>
        <b/>
        <sz val="10"/>
        <rFont val="Calibri"/>
        <family val="2"/>
        <scheme val="minor"/>
      </rPr>
      <t xml:space="preserve"> </t>
    </r>
    <r>
      <rPr>
        <sz val="10"/>
        <rFont val="Calibri"/>
        <family val="2"/>
        <scheme val="minor"/>
      </rPr>
      <t>W/
- (2) #4 TOP BARS
- (2) #6 BOTTOM BARS
- #3 STIRRUPS @ 6" O.C.</t>
    </r>
  </si>
  <si>
    <t>#4 BARS AT CONCRETE BEAM</t>
  </si>
  <si>
    <t>#6 BARS AT CONCRETE BEAM</t>
  </si>
  <si>
    <t>#3 STIRRUPS AT CONCRETE BEAM</t>
  </si>
  <si>
    <t>2" R-10 RIGID INSULATION UNDER SLAB</t>
  </si>
  <si>
    <t>12" GRAVEL OR CRUSHED STONE UNDER SLAB ON GRADE OVER FILTER FABRIC</t>
  </si>
  <si>
    <t>2" XPS RIGID R-10 INSULATION AT CONCRETE WALLS</t>
  </si>
  <si>
    <t>BITUMINOUS DAMPROOFING AT CONCRETE WALLS</t>
  </si>
  <si>
    <t>AIRTIGHT WATERPROOFING AT CONCRETE WALLS</t>
  </si>
  <si>
    <t>15 MIL POLYETHYLENE VAPOR BARRIER TAPE JOINTS &amp; PENETRATIONS UNDER SLAB</t>
  </si>
  <si>
    <t>COMMERCIAL GRADE CONTINUOUS VAPOR PERMEABLE AIR BARRIER AT CONCRETE WALLS</t>
  </si>
  <si>
    <t>CONCRETE PIERS</t>
  </si>
  <si>
    <t>S100, S200</t>
  </si>
  <si>
    <t>S100</t>
  </si>
  <si>
    <t>A102, A105</t>
  </si>
  <si>
    <t>S200</t>
  </si>
  <si>
    <t>EA</t>
  </si>
  <si>
    <t>GRANITE CURB</t>
  </si>
  <si>
    <t>C102, C501</t>
  </si>
  <si>
    <t>VA-4 GRANITE CURB W/ 6" REVEAL 
- HIGH EARLY STRENGTH CEMENT CONCRETE
- PROP. SAWCUT SEAL W/ IR
- PROP. BIT. CONC. TOP COURSE</t>
  </si>
  <si>
    <t>4" CONCRETE CEMENT CONCRETE SIDEWALK W/ BROOM FINISH 
- 6" CRUSHED STONE BASE OVER COMPACTED SUBGRADE
- PROVIDE 1/2" CONSTRUCTION CONTROL JOINTS 
- PRVIDE A TOOLED DUMMY JOINT 1/4"Wx1/2"D AS NEEDED TO PROVIDE SYMMETRY</t>
  </si>
  <si>
    <t>POROUS CONCRETE</t>
  </si>
  <si>
    <t>L1, L6</t>
  </si>
  <si>
    <t>DEMOLITION</t>
  </si>
  <si>
    <t>C101</t>
  </si>
  <si>
    <t>REMOVE EXISITNG CONCRETE CURB</t>
  </si>
  <si>
    <t>REMOVE EXISTING CONCRETE LANDING</t>
  </si>
  <si>
    <t>REMOVE EXISTING CONCRETE STEPS</t>
  </si>
  <si>
    <t>REMOVE EXISTING EDGE OF BIT DRIVEWAY</t>
  </si>
  <si>
    <t>CONSTRUCTION ENTRANCE</t>
  </si>
  <si>
    <t>C101, C502</t>
  </si>
  <si>
    <t>NEW CONSTRUCTION ENTRANCE
- SIZE: 25'-0"x12'-0"x0'-6" THK
- FILTER FABRIC: MIRAFI 600X OR APPROVED EQUAL</t>
  </si>
  <si>
    <t>CONSTRUCTION FENCE/ EROSION CONTROL</t>
  </si>
  <si>
    <t>NEW CONSTRUCTION FABRIC FENCE @5'-0" HT W/
- LINE POST 2 3/8" DIA @10'-0" C.C.
- EXPANSION SLEEVE
- CHAIN LINK FABRIC (2 1/2" MESH) 
- BAR BANDS @12" INTERVALS
- TURNBUCKLE (6" TAKUP)
- END POST 3" DIA W/ END POST CAP
- TOP RAIL 1 3/4" DIA
- INSTALL 3 VARBED WIRES W/ 45 DEGREE
- WITH EROSION CONTROL BARRIER</t>
  </si>
  <si>
    <t>WOOD FENCE</t>
  </si>
  <si>
    <t>L1, L7</t>
  </si>
  <si>
    <t>FOUNDATION</t>
  </si>
  <si>
    <t>GATE</t>
  </si>
  <si>
    <t>3'-2"W x 8' HT WOOD GATE W/ SELF LATCHING SS HARDWARE AS NOTED BELOW
- PROVIDE EMTEK, MODEL HANOVER 510, COLOR: FLAT BLACK US19, SQUARE CORNER KEYED</t>
  </si>
  <si>
    <t>GUARDRAIL</t>
  </si>
  <si>
    <t>42" HT ALUMINUM GUARDRAIL OVER RETAINING WALL</t>
  </si>
  <si>
    <t>SILT SACK</t>
  </si>
  <si>
    <t>AREA DRAIN</t>
  </si>
  <si>
    <t>C103, C501</t>
  </si>
  <si>
    <r>
      <t xml:space="preserve">AREA DRAIN 
- AREA DRAIN GATE AND FRAME 8" MIN. GRATE BOLTED TO FRAME
- CAST IRON DRAIN BUCKET
</t>
    </r>
    <r>
      <rPr>
        <b/>
        <sz val="10"/>
        <color rgb="FFFF0000"/>
        <rFont val="Calibri"/>
        <family val="2"/>
        <scheme val="minor"/>
      </rPr>
      <t>DRAIN AS MANUFACTURED BY JOSAM SERIES 35580 OR EQUAL</t>
    </r>
  </si>
  <si>
    <t>MANHOLE</t>
  </si>
  <si>
    <t xml:space="preserve">30" DOMESTIC CONCRETE MANHOLE
- 24" DIA CAST IRON FRAME AND COVER BRICK 
- (4) 10" DIA KNOCKOUTS </t>
  </si>
  <si>
    <t>CATCH BASIN</t>
  </si>
  <si>
    <t>C103</t>
  </si>
  <si>
    <t>WATER GATE VALVE</t>
  </si>
  <si>
    <t>TRENCH</t>
  </si>
  <si>
    <t>UTILITY TRENCH
- PIPE BEDDING CONSISTING OF  1/2 TO 3/4 INCH CRUSHED STONE 
- WOOD SHEETING IF REQUIRED</t>
  </si>
  <si>
    <t>TANK</t>
  </si>
  <si>
    <t>10'-6"x5'-8" 1000 GAL. LEDGE CONCRETE TANK W/
- 20" DIA CLEANOUT COVER 3 PLACES 
- 4" DIA INLET RUBBER BOOT W/ CLAMP
- 2" DIA INLET RUBBER BOOT W/ CLAMP
- 8" DIA INLET RUBBER BOOT W/ CLAMP
- TONGUE AND GROOVE JOINT SEALED W/ BUTYL RESIN</t>
  </si>
  <si>
    <t>TRANSFORMER VAULT</t>
  </si>
  <si>
    <t>STONE STRIPS</t>
  </si>
  <si>
    <r>
      <t xml:space="preserve">DECORATIVE STONE STRIPS
- PROVIDE A SMOOTH, NATURALLY ROUNDED BOTTOM STONE 1.5-2" IN SIZE
- 3/16"x4" H PERMALOC EDGE, MILL FINISH: </t>
    </r>
    <r>
      <rPr>
        <b/>
        <sz val="10"/>
        <rFont val="Calibri"/>
        <family val="2"/>
        <scheme val="minor"/>
      </rPr>
      <t>411 LF</t>
    </r>
    <r>
      <rPr>
        <sz val="10"/>
        <rFont val="Calibri"/>
        <family val="2"/>
        <scheme val="minor"/>
      </rPr>
      <t xml:space="preserve">
- 18" LONG STEEL STAKE: </t>
    </r>
    <r>
      <rPr>
        <b/>
        <sz val="10"/>
        <rFont val="Calibri"/>
        <family val="2"/>
        <scheme val="minor"/>
      </rPr>
      <t>411 LF</t>
    </r>
    <r>
      <rPr>
        <sz val="10"/>
        <rFont val="Calibri"/>
        <family val="2"/>
        <scheme val="minor"/>
      </rPr>
      <t xml:space="preserve">
- COMPACTED SUBGRADE</t>
    </r>
  </si>
  <si>
    <t>WARNING STRIPS/ RAMP</t>
  </si>
  <si>
    <t>RETAINING WALL</t>
  </si>
  <si>
    <t>6'-0" HT CONCRETE RETAINING WALL W/
- SMOOTH AND TROWEL FINISH
- 1/2" CHAMFER, BOTH SIDES
- EPOXY COATED REBAR 12" O.C. E.W
- 4" DIA SCH. 40 PERFORATED DRAIN PIPE
- 2"x4" KEY 
- WASHED 3/4" CRUSHED STONE WRAPPED IN FILTER FABRIC, BOTH SIDES</t>
  </si>
  <si>
    <t>2'-10"x1'-0" CONCRETE FOOTINGS W/ #4 EPOXY COATED REBAR 12" O.C. E.W TYP</t>
  </si>
  <si>
    <t>CONNCTIONS</t>
  </si>
  <si>
    <t>SEWER CONNECTION</t>
  </si>
  <si>
    <t>WATER CONNECTION</t>
  </si>
  <si>
    <t>STORM DRAIN CONNECTION</t>
  </si>
  <si>
    <t>PAVERS</t>
  </si>
  <si>
    <t>PERMEABLE PAVERS W/
- PERMEABLE JOINT OPENING AGGREGATE: OPEN-GRADED, CRUSHED, ANGULAR STONE ASTM NO. 8
- PERMEABLE SETTING BED AGGREGARE: OPEN-GRADED, CRUSHED, ANGULAR STONE ASTM NO. 8
- PERMEABLE BASE AGGREGATE: OPEN-GRADED, CRUSHED, ANGULAR STONE ASTM NO. 57
- TRIAXIAL GEOGRID
- PERMEABLE SUBBASE AGGREGATE: OPEN-GRADED, CRUSHED, ANGULAR STONE ASTM NO. 2
- MIRAFI 140N FILTER FABRIC
- COMPACTED SUBGRADE</t>
  </si>
  <si>
    <t>DIV. 33</t>
  </si>
  <si>
    <t>UTILITIES</t>
  </si>
  <si>
    <t>UNDERGROUND PIPING</t>
  </si>
  <si>
    <t>2" HDPE DRAIN PIPE
- CORRUGATED PLASTIC PIPE ASTM F2648</t>
  </si>
  <si>
    <t>4" HDPE DRAIN PIPE
- CORRUGATED PLASTIC PIPE ASTM F2648</t>
  </si>
  <si>
    <t>6" HDPE DRAIN PIPE
- CORRUGATED PLASTIC PIPE ASTM F2648</t>
  </si>
  <si>
    <t>8" HDPE DRAIN PIPE
- CORRUGATED PLASTIC PIPE ASTM F2648</t>
  </si>
  <si>
    <t>10" HDPE DRAIN PIPE
- CORRUGATED PLASTIC PIPE ASTM F2648</t>
  </si>
  <si>
    <t>DOMESTIC WATER PIPE
- 2" CONCRETE LINED DUCTILE IRON PIPE</t>
  </si>
  <si>
    <t>FIRE WATER PIPE 
- 6" CONCRETE LINED DUCTILE IRON PIPE</t>
  </si>
  <si>
    <t>SEWER PIPE LINE
- PVC ASTM D3034-SDR 35</t>
  </si>
  <si>
    <t>BUILDING CONCRETE</t>
  </si>
  <si>
    <t>REMOVE EXISTING TREES</t>
  </si>
  <si>
    <t>VALVE</t>
  </si>
  <si>
    <t>REMOVE EXISITNG CONCRETE PORCH W/ ASSOCIATED ASSEMBLY</t>
  </si>
  <si>
    <t>CF</t>
  </si>
  <si>
    <t>REMOVE EXISTING 2-STORY WOOD DWELLING UNITS (4 LOC)</t>
  </si>
  <si>
    <t>REMOVE EXISTING SHED
AREA: 145 SF</t>
  </si>
  <si>
    <t>REMOVE EXISTING TRAILER (1 LOC)
AREA: 225 SF</t>
  </si>
  <si>
    <t>REMOVE EXISTING DOGHOUSE
AREA: 20 SF</t>
  </si>
  <si>
    <t>REMOVE EXISTING CONCRETE BULKHEAD AND STEPS
AREA: 36 SF</t>
  </si>
  <si>
    <t>REMOVE EXISTING CONCRETE DECK
AREA: 111 SF</t>
  </si>
  <si>
    <t>8'-0''H WOOD COMPOSITE FENCE W/ 
- 1x4 RAIL CAP, WHITE CEDAR, SHOP ALLPIED SATIN
- 1x4 FASCIA BOARD AT TOP, WHITE CEDAR, SHOP APPLIED SATIN
- 2x4 BACKING RAIL AT TOP, WHITE CEDAR, SHOP APPLIED SATIN
- 5x5 POST, WHITE CEDAR, SHOP APPLIED SATIN
- 1x5 V-GROOVE BOARDS, WHITE CEDAR, SHOP APPLIED SATIN
- 2x4 BACKING RAIL AT BOTTOM, WHITE CEDAR, SHOP APPLIED SATIN
- 1x4 FASCIA BOARD AT BOTTOM, WHITE CEDAR, SHOP APPLIED SATIN
- 2" DIA SCHEDULE 40 GALVANIZED PIPE CORE DRILLED INTO FENCE</t>
  </si>
  <si>
    <t>6'-0''H WOOD COMPOSITE FENCE W/ 
- 1x4 RAIL CAP, WHITE CEDAR, SHOP ALLPIED SATIN
- 1x4 FASCIA BOARD AT TOP, WHITE CEDAR, SHOP APPLIED SATIN
- 2x4 BACKING RAIL AT TOP, WHITE CEDAR, SHOP APPLIED SATIN
- 5x5 POST, WHITE CEDAR, SHOP APPLIED SATIN
- 1x5 V-GROOVE BOARDS, WHITE CEDAR, SHOP APPLIED SATIN
- 2x4 BACKING RAIL AT BOTTOM, WHITE CEDAR, SHOP APPLIED SATIN
- 1x4 FASCIA BOARD AT BOTTOM, WHITE CEDAR, SHOP APPLIED SATIN
- 2" DIA SCHEDULE 40 GALVANIZED PIPE CORE DRILLED INTO FENCE</t>
  </si>
  <si>
    <t>FOOTING</t>
  </si>
  <si>
    <t>12" CONCRETE SONO TUBE FOOTING TO FROST</t>
  </si>
  <si>
    <t>SILT SACK@ 3'-0'' O.C. W/ 
- OPTIONAL OVERFLOW
- DUMP LOOPS
- 1" REBAR FOR BAG REMOVAL FROM INLET</t>
  </si>
  <si>
    <t>TRANSFORMER VAULT W/ ASSOCIATED PAD &amp; ASSEMBLY</t>
  </si>
  <si>
    <t>MARKING</t>
  </si>
  <si>
    <t>PROPOSED 12'' RAISED CROSSWALK MARKING</t>
  </si>
  <si>
    <t>DTECTABLE WARNING STRIPS AREA</t>
  </si>
  <si>
    <t>TRENCHING</t>
  </si>
  <si>
    <t>EXCAVATION PROVIDED FOR UTILITY WORKS</t>
  </si>
  <si>
    <t>BACKFILL PROVIDED FOR UTILITY WORKS OVER BEDDING MATERIAL</t>
  </si>
  <si>
    <t>UTILITY POLES (FURNISH &amp; INSTALL POLE BASES)</t>
  </si>
  <si>
    <t>9''DIA X 3'-0''D LIGHT BOLLARD FOOTING OVER COMPCATED GRAVEL BASE
POLES: 15</t>
  </si>
  <si>
    <t>EARTHWORK</t>
  </si>
  <si>
    <t>HAUL-OFF</t>
  </si>
  <si>
    <t>OUTDOOR POWER STATION</t>
  </si>
  <si>
    <t>10''DIA X 4'-0''D LIGHT BOLLARD FOOTING OVER COMPCATED GRAVEL BASE
NO: 3</t>
  </si>
  <si>
    <r>
      <t xml:space="preserve">NOTES: 
- IF IMPORT PLEASE MAKE SURE THAT THE COST OF STRUCTURAL FILL IS CARRIED UNDER BITUMINOUS ASPHALT, CONCRETE, AND BUILDING.  COMMON FILL CAN BE CARRIED IN OTHER AREAS.  ALSO PLEASE REMEMBER TO CARRY TRUCKING COSTS.  IT COSTS ROUGHLY </t>
    </r>
    <r>
      <rPr>
        <b/>
        <sz val="10"/>
        <color rgb="FFFF0000"/>
        <rFont val="Calibri"/>
        <family val="2"/>
        <scheme val="minor"/>
      </rPr>
      <t xml:space="preserve">$1,300 </t>
    </r>
    <r>
      <rPr>
        <b/>
        <sz val="10"/>
        <rFont val="Calibri"/>
        <family val="2"/>
        <scheme val="minor"/>
      </rPr>
      <t>FOR 1 TRI-AXLE PER DAY THAT CARRIES (20CY).  WE SHOULD ASSUME (4) LOADS PER DAY.
- IF EXPORT WE WILL ASSUME THAT ALL MATERIAL IS CLEAN.  ASSUME THE SAME TRUCKING AS IMPORT, BUT ALSO CARRY A DISPOSAL FEE OF</t>
    </r>
    <r>
      <rPr>
        <b/>
        <sz val="10"/>
        <color rgb="FFFF0000"/>
        <rFont val="Calibri"/>
        <family val="2"/>
        <scheme val="minor"/>
      </rPr>
      <t xml:space="preserve"> $10</t>
    </r>
    <r>
      <rPr>
        <b/>
        <sz val="10"/>
        <rFont val="Calibri"/>
        <family val="2"/>
        <scheme val="minor"/>
      </rPr>
      <t xml:space="preserve"> PER CY.</t>
    </r>
  </si>
  <si>
    <t>BUILDING STONE/GRAVEL</t>
  </si>
  <si>
    <t>6'-4"W x 1'-0"D x 7"H CONCRETE TOPPING AT METAL STAIRS
STEPS: 8</t>
  </si>
  <si>
    <t>THICKENED EDGE</t>
  </si>
  <si>
    <t>CONCRETE THICKENED EDGE W/ #4 BARS @ 12" O.C.</t>
  </si>
  <si>
    <t>8" THK. CONCRETE WALL &amp; CURB @ 5'-6" HT W/ 
- #4 BARS @ 12" O.C. HORIZONTALLY AND VERTICALLY
-  #4 DOWELS @ 12" O.C.
- 2x4 CONTINUOUS KEYWAY W/ WATERSTOP</t>
  </si>
  <si>
    <t>EXCAVATION PROVIDED FOR BASEMENT SLAB ON GRADE</t>
  </si>
  <si>
    <t>8" THK. ELEVATOR PIT SLAB REINFORCEMENT W/ #5 @12" O.C. TOP &amp; BOTTOM INNER LAYER</t>
  </si>
  <si>
    <t>5"x12" CONCRETE CURB/ SLAB EDGE</t>
  </si>
  <si>
    <t>C14G</t>
  </si>
  <si>
    <t>1 CARP</t>
  </si>
  <si>
    <t>C14B</t>
  </si>
  <si>
    <t>C14C</t>
  </si>
  <si>
    <t>C14D</t>
  </si>
  <si>
    <t>C14H</t>
  </si>
  <si>
    <t>C-14C</t>
  </si>
  <si>
    <t>RI</t>
  </si>
  <si>
    <t>2 CARP</t>
  </si>
  <si>
    <t>1 CLAB</t>
  </si>
  <si>
    <t>E-4</t>
  </si>
  <si>
    <t>1 ROFC</t>
  </si>
  <si>
    <t>B-24</t>
  </si>
  <si>
    <t>D-13</t>
  </si>
  <si>
    <t>2 ROFC</t>
  </si>
  <si>
    <t>B-80C</t>
  </si>
  <si>
    <t>B-13</t>
  </si>
  <si>
    <t>2 CLAB</t>
  </si>
  <si>
    <t>1 PORD</t>
  </si>
  <si>
    <t>Q-1</t>
  </si>
  <si>
    <t>B-20</t>
  </si>
  <si>
    <t>B-21A</t>
  </si>
  <si>
    <t>B-21</t>
  </si>
  <si>
    <t>D-1</t>
  </si>
  <si>
    <t>D-8</t>
  </si>
  <si>
    <t xml:space="preserve"> 1 CLAB</t>
  </si>
  <si>
    <t>B-8</t>
  </si>
  <si>
    <t>R-3</t>
  </si>
  <si>
    <r>
      <t>6" STORMCRETE POROUS CONCRETE SIDEWALK</t>
    </r>
    <r>
      <rPr>
        <b/>
        <sz val="10"/>
        <rFont val="Calibri"/>
        <family val="2"/>
        <scheme val="minor"/>
      </rPr>
      <t xml:space="preserve"> BY POROUS TECHNOLOGIES 1.888.357.1161</t>
    </r>
    <r>
      <rPr>
        <sz val="10"/>
        <rFont val="Calibri"/>
        <family val="2"/>
        <scheme val="minor"/>
      </rPr>
      <t xml:space="preserve">
- 1/8" OPEN JOINT WITH (2) HDPE TAPERED SPACERS PER JOINT
- 2" PERMEABLE BASE AGGREGARE: ASTM NO. 8 WASHED CRUSHED STONE SCREEDING COURSE
- BIAXIAL GEOGRID-6" BENEATH NO. 8 STONE AND AT BOTTOM OF TRENCH
- 1'-10 1/2" PERMEABLE BASE AGGRAGATE: ASTM NO. 57 WASHED CRUSHED STONE RESERVOIR COURSE
- COMPACTED SUBGRADE</t>
    </r>
  </si>
  <si>
    <t>DIV. 31</t>
  </si>
  <si>
    <t>EXCAVATION PROVIDED FOR PIPING</t>
  </si>
  <si>
    <t>BACKFILL PROVIDED FOR PIPING</t>
  </si>
  <si>
    <t>BID ALTERNATE</t>
  </si>
  <si>
    <t>TRADE
TOTAL</t>
  </si>
  <si>
    <t>ALT-1</t>
  </si>
  <si>
    <t>ALTERNATE #1</t>
  </si>
  <si>
    <t>EXCAVATION PROVIDED FOR PVC PIPING</t>
  </si>
  <si>
    <t>BACKFILL PROVIDED FOR PVC PIPING</t>
  </si>
  <si>
    <t>HAULING OFF EXTRA MATERIAL FOR PVC PIPING</t>
  </si>
  <si>
    <t>HAULING OFF EXTRA MATERIAL FOR PIPING</t>
  </si>
  <si>
    <t>SIGNAGE</t>
  </si>
  <si>
    <t>TRAFFIC CONTROL SIGNAGE</t>
  </si>
  <si>
    <t>ASPHALT REPAIR AND PATCHING</t>
  </si>
  <si>
    <t>PROVIDE ASPHALT PATCH AND REPAIR WHERE UTILITIES ARE CONNECTING IN THE STREET</t>
  </si>
  <si>
    <t>ALLOWNACE</t>
  </si>
  <si>
    <t>PROVIDE ALLOWANCE FOR POLICE DETAILS AT ROAD CROSSING WHILE WORKING</t>
  </si>
  <si>
    <t>P100</t>
  </si>
  <si>
    <t>P101</t>
  </si>
  <si>
    <t>B-45</t>
  </si>
  <si>
    <t>ALTERNATE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</si>
</sst>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3" formatCode="_-* #,##0.00_-;\-* #,##0.00_-;_-* &quot;-&quot;??_-;_-@_-"/>
    <numFmt numFmtId="164" formatCode="&quot;$&quot;#,##0_);[Red]\(&quot;$&quot;#,##0\)"/>
    <numFmt numFmtId="165" formatCode="&quot;$&quot;#,##0.00_);\(&quot;$&quot;#,##0.00\)"/>
    <numFmt numFmtId="166" formatCode="&quot;$&quot;#,##0.00_);[Red]\(&quot;$&quot;#,##0.00\)"/>
    <numFmt numFmtId="167" formatCode="_(&quot;$&quot;* #,##0.00_);_(&quot;$&quot;* \(#,##0.00\);_(&quot;$&quot;* &quot;-&quot;??_);_(@_)"/>
    <numFmt numFmtId="168" formatCode="_(&quot;$&quot;* #,##0_);_(&quot;$&quot;* \(#,##0\);_(&quot;$&quot;* &quot;-&quot;??_);_(@_)"/>
    <numFmt numFmtId="169" formatCode="0.000%"/>
    <numFmt numFmtId="170" formatCode="0.000"/>
    <numFmt numFmtId="171" formatCode="0.0"/>
  </numFmts>
  <fonts count="13" x14ac:knownFonts="1">
    <font>
      <sz val="10"/>
      <name val="Arial"/>
    </font>
    <font>
      <sz val="11"/>
      <color theme="1"/>
      <name val="Calibri"/>
      <family val="2"/>
      <scheme val="minor"/>
    </font>
    <font>
      <sz val="10"/>
      <name val="MS Sans Serif"/>
      <family val="2"/>
    </font>
    <font>
      <sz val="10"/>
      <name val="Calibri"/>
      <family val="2"/>
      <scheme val="minor"/>
    </font>
    <font>
      <b/>
      <sz val="10"/>
      <name val="Calibri"/>
      <family val="2"/>
      <scheme val="minor"/>
    </font>
    <font>
      <sz val="10"/>
      <name val="Arial"/>
      <family val="2"/>
    </font>
    <font>
      <b/>
      <sz val="12"/>
      <name val="Calibri"/>
      <family val="2"/>
      <scheme val="minor"/>
    </font>
    <font>
      <b/>
      <sz val="14"/>
      <name val="Calibri"/>
      <family val="2"/>
      <scheme val="minor"/>
    </font>
    <font>
      <b/>
      <sz val="10"/>
      <color theme="0"/>
      <name val="Calibri"/>
      <family val="2"/>
      <scheme val="minor"/>
    </font>
    <font>
      <sz val="14"/>
      <name val="Calibri"/>
      <family val="2"/>
      <scheme val="minor"/>
    </font>
    <font>
      <b/>
      <sz val="10"/>
      <color rgb="FFFF0000"/>
      <name val="Calibri"/>
      <family val="2"/>
      <scheme val="minor"/>
    </font>
    <font>
      <sz val="10"/>
      <name val="Calibri"/>
      <family val="2"/>
    </font>
    <font>
      <b/>
      <sz val="10"/>
      <color theme="3" tint="-0.249977111117893"/>
      <name val="Calibri"/>
      <family val="2"/>
      <scheme val="minor"/>
    </font>
  </fonts>
  <fills count="8">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00B050"/>
        <bgColor indexed="64"/>
      </patternFill>
    </fill>
    <fill>
      <patternFill patternType="solid">
        <fgColor theme="0" tint="-4.9989318521683403E-2"/>
        <bgColor indexed="64"/>
      </patternFill>
    </fill>
    <fill>
      <patternFill patternType="solid">
        <fgColor rgb="FFFFFFFF"/>
        <bgColor rgb="FF000000"/>
      </patternFill>
    </fill>
    <fill>
      <patternFill patternType="solid">
        <fgColor rgb="FFFFFF00"/>
        <bgColor indexed="64"/>
      </patternFill>
    </fill>
  </fills>
  <borders count="16">
    <border>
      <left/>
      <right/>
      <top/>
      <bottom/>
      <diagonal/>
    </border>
    <border>
      <left/>
      <right style="thin">
        <color indexed="64"/>
      </right>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7">
    <xf numFmtId="0" fontId="0" fillId="0" borderId="0"/>
    <xf numFmtId="164" fontId="2" fillId="0" borderId="0" applyFont="0" applyFill="0" applyBorder="0" applyAlignment="0" applyProtection="0"/>
    <xf numFmtId="166" fontId="2" fillId="0" borderId="0" applyFont="0" applyFill="0" applyBorder="0" applyAlignment="0" applyProtection="0"/>
    <xf numFmtId="0" fontId="2" fillId="0" borderId="0"/>
    <xf numFmtId="167" fontId="5" fillId="0" borderId="0" applyFont="0" applyFill="0" applyBorder="0" applyAlignment="0" applyProtection="0"/>
    <xf numFmtId="0" fontId="5" fillId="0" borderId="0"/>
    <xf numFmtId="0" fontId="1" fillId="0" borderId="0"/>
  </cellStyleXfs>
  <cellXfs count="164">
    <xf numFmtId="0" fontId="0" fillId="0" borderId="0" xfId="0"/>
    <xf numFmtId="0" fontId="3" fillId="0" borderId="0" xfId="3" applyFont="1" applyAlignment="1">
      <alignment horizontal="left" vertical="center"/>
    </xf>
    <xf numFmtId="166" fontId="3" fillId="0" borderId="0" xfId="3" applyNumberFormat="1" applyFont="1" applyAlignment="1">
      <alignment horizontal="center" vertical="center"/>
    </xf>
    <xf numFmtId="10" fontId="3" fillId="0" borderId="3" xfId="3" applyNumberFormat="1" applyFont="1" applyBorder="1" applyAlignment="1">
      <alignment vertical="center"/>
    </xf>
    <xf numFmtId="10" fontId="3" fillId="0" borderId="0" xfId="3" applyNumberFormat="1" applyFont="1" applyAlignment="1">
      <alignment horizontal="center" vertical="center"/>
    </xf>
    <xf numFmtId="169" fontId="3" fillId="0" borderId="3" xfId="3" applyNumberFormat="1" applyFont="1" applyBorder="1" applyAlignment="1">
      <alignment vertical="center"/>
    </xf>
    <xf numFmtId="0" fontId="4" fillId="3" borderId="3" xfId="3" applyFont="1" applyFill="1" applyBorder="1" applyAlignment="1">
      <alignment horizontal="left" vertical="center" wrapText="1"/>
    </xf>
    <xf numFmtId="166" fontId="4" fillId="3" borderId="3" xfId="2" applyFont="1" applyFill="1" applyBorder="1" applyAlignment="1" applyProtection="1">
      <alignment horizontal="center" vertical="center"/>
    </xf>
    <xf numFmtId="0" fontId="3" fillId="0" borderId="3" xfId="3" applyFont="1" applyBorder="1" applyAlignment="1">
      <alignment horizontal="left" vertical="center" wrapText="1"/>
    </xf>
    <xf numFmtId="0" fontId="3" fillId="0" borderId="3" xfId="3" applyFont="1" applyBorder="1" applyAlignment="1">
      <alignment horizontal="center" vertical="center"/>
    </xf>
    <xf numFmtId="2" fontId="3" fillId="2" borderId="3" xfId="3" applyNumberFormat="1" applyFont="1" applyFill="1" applyBorder="1" applyAlignment="1">
      <alignment horizontal="center" vertical="center"/>
    </xf>
    <xf numFmtId="0" fontId="3" fillId="0" borderId="0" xfId="3" applyFont="1" applyAlignment="1">
      <alignment horizontal="center" vertical="center"/>
    </xf>
    <xf numFmtId="0" fontId="4" fillId="0" borderId="0" xfId="3" applyFont="1" applyAlignment="1">
      <alignment horizontal="center" vertical="center"/>
    </xf>
    <xf numFmtId="38" fontId="4" fillId="3" borderId="3" xfId="3" applyNumberFormat="1" applyFont="1" applyFill="1" applyBorder="1" applyAlignment="1">
      <alignment horizontal="center" vertical="center" wrapText="1"/>
    </xf>
    <xf numFmtId="166" fontId="3" fillId="0" borderId="0" xfId="2" applyFont="1" applyAlignment="1" applyProtection="1">
      <alignment horizontal="center" vertical="center"/>
    </xf>
    <xf numFmtId="170" fontId="3" fillId="2" borderId="3" xfId="3" applyNumberFormat="1" applyFont="1" applyFill="1" applyBorder="1" applyAlignment="1">
      <alignment horizontal="center" vertical="center"/>
    </xf>
    <xf numFmtId="0" fontId="4" fillId="0" borderId="11" xfId="3" applyFont="1" applyBorder="1" applyAlignment="1">
      <alignment vertical="center"/>
    </xf>
    <xf numFmtId="166" fontId="3" fillId="0" borderId="3" xfId="3" applyNumberFormat="1" applyFont="1" applyBorder="1" applyAlignment="1">
      <alignment horizontal="center" vertical="center"/>
    </xf>
    <xf numFmtId="0" fontId="3" fillId="0" borderId="12" xfId="3" applyFont="1" applyBorder="1" applyAlignment="1">
      <alignment horizontal="center" vertical="center"/>
    </xf>
    <xf numFmtId="0" fontId="3" fillId="0" borderId="2" xfId="3" applyFont="1" applyBorder="1" applyAlignment="1">
      <alignment horizontal="center" vertical="center"/>
    </xf>
    <xf numFmtId="0" fontId="3" fillId="0" borderId="1" xfId="3" applyFont="1" applyBorder="1" applyAlignment="1">
      <alignment horizontal="center" vertical="center"/>
    </xf>
    <xf numFmtId="0" fontId="4" fillId="0" borderId="0" xfId="3" applyFont="1" applyAlignment="1">
      <alignment vertical="center"/>
    </xf>
    <xf numFmtId="0" fontId="4" fillId="0" borderId="1" xfId="3" applyFont="1" applyBorder="1" applyAlignment="1">
      <alignment vertical="center"/>
    </xf>
    <xf numFmtId="0" fontId="3" fillId="0" borderId="3" xfId="0" applyFont="1" applyBorder="1" applyAlignment="1">
      <alignment horizontal="center" vertical="center" wrapText="1"/>
    </xf>
    <xf numFmtId="0" fontId="4" fillId="0" borderId="4" xfId="3" applyFont="1" applyBorder="1" applyAlignment="1">
      <alignment horizontal="center" vertical="center"/>
    </xf>
    <xf numFmtId="0" fontId="9" fillId="0" borderId="3" xfId="3" applyFont="1" applyBorder="1" applyAlignment="1">
      <alignment horizontal="center" vertical="center"/>
    </xf>
    <xf numFmtId="0" fontId="7" fillId="0" borderId="0" xfId="3" applyFont="1" applyAlignment="1">
      <alignment horizontal="center" vertical="center"/>
    </xf>
    <xf numFmtId="2" fontId="3" fillId="0" borderId="3" xfId="0" applyNumberFormat="1" applyFont="1" applyBorder="1" applyAlignment="1">
      <alignment horizontal="center" vertical="center" wrapText="1"/>
    </xf>
    <xf numFmtId="166" fontId="8" fillId="4" borderId="3" xfId="2" applyFont="1" applyFill="1" applyBorder="1" applyAlignment="1" applyProtection="1">
      <alignment horizontal="center" vertical="center"/>
    </xf>
    <xf numFmtId="166" fontId="8" fillId="4" borderId="3" xfId="2" applyFont="1" applyFill="1" applyBorder="1" applyAlignment="1" applyProtection="1">
      <alignment horizontal="center" vertical="center" wrapText="1"/>
    </xf>
    <xf numFmtId="38" fontId="4" fillId="0" borderId="4" xfId="3" applyNumberFormat="1" applyFont="1" applyBorder="1" applyAlignment="1">
      <alignment horizontal="center" vertical="center" wrapText="1"/>
    </xf>
    <xf numFmtId="0" fontId="4" fillId="0" borderId="4" xfId="3" applyFont="1" applyBorder="1" applyAlignment="1">
      <alignment horizontal="left" vertical="center" wrapText="1"/>
    </xf>
    <xf numFmtId="0" fontId="3" fillId="0" borderId="4" xfId="0" applyFont="1" applyBorder="1" applyAlignment="1">
      <alignment horizontal="center" vertical="center"/>
    </xf>
    <xf numFmtId="166" fontId="4" fillId="0" borderId="4" xfId="3" applyNumberFormat="1" applyFont="1" applyBorder="1" applyAlignment="1">
      <alignment horizontal="center" vertical="center"/>
    </xf>
    <xf numFmtId="166" fontId="4" fillId="0" borderId="4" xfId="2" applyFont="1" applyBorder="1" applyAlignment="1" applyProtection="1">
      <alignment horizontal="center" vertical="center"/>
    </xf>
    <xf numFmtId="165" fontId="4" fillId="0" borderId="4" xfId="1" applyNumberFormat="1" applyFont="1" applyBorder="1" applyAlignment="1" applyProtection="1">
      <alignment horizontal="center" vertical="center"/>
    </xf>
    <xf numFmtId="0" fontId="6" fillId="0" borderId="0" xfId="3" applyFont="1" applyAlignment="1">
      <alignment vertical="center"/>
    </xf>
    <xf numFmtId="0" fontId="3" fillId="0" borderId="0" xfId="3" applyFont="1" applyAlignment="1">
      <alignment vertical="center"/>
    </xf>
    <xf numFmtId="0" fontId="3" fillId="0" borderId="1" xfId="3" applyFont="1" applyBorder="1" applyAlignment="1">
      <alignment vertical="center"/>
    </xf>
    <xf numFmtId="1" fontId="3" fillId="0" borderId="3" xfId="0" applyNumberFormat="1" applyFont="1" applyBorder="1" applyAlignment="1">
      <alignment horizontal="center" vertical="center" wrapText="1"/>
    </xf>
    <xf numFmtId="0" fontId="3" fillId="0" borderId="11" xfId="3" applyFont="1" applyBorder="1" applyAlignment="1">
      <alignment horizontal="center" vertical="center"/>
    </xf>
    <xf numFmtId="0" fontId="3" fillId="0" borderId="9" xfId="3" applyFont="1" applyBorder="1" applyAlignment="1">
      <alignment horizontal="center" vertical="center"/>
    </xf>
    <xf numFmtId="0" fontId="4" fillId="0" borderId="9" xfId="3" applyFont="1" applyBorder="1" applyAlignment="1">
      <alignment vertical="center"/>
    </xf>
    <xf numFmtId="168" fontId="4" fillId="0" borderId="3" xfId="3" applyNumberFormat="1" applyFont="1" applyBorder="1" applyAlignment="1">
      <alignment horizontal="center" vertical="center"/>
    </xf>
    <xf numFmtId="0" fontId="3" fillId="0" borderId="9" xfId="3" applyFont="1" applyBorder="1" applyAlignment="1">
      <alignment vertical="center"/>
    </xf>
    <xf numFmtId="2" fontId="4" fillId="0" borderId="3" xfId="3" applyNumberFormat="1" applyFont="1" applyBorder="1" applyAlignment="1">
      <alignment horizontal="center" vertical="center"/>
    </xf>
    <xf numFmtId="167" fontId="4" fillId="0" borderId="10" xfId="4" applyFont="1" applyBorder="1" applyAlignment="1" applyProtection="1">
      <alignment horizontal="center" vertical="center"/>
    </xf>
    <xf numFmtId="168" fontId="4" fillId="3" borderId="3" xfId="3" applyNumberFormat="1" applyFont="1" applyFill="1" applyBorder="1" applyAlignment="1">
      <alignment horizontal="center" vertical="center"/>
    </xf>
    <xf numFmtId="38" fontId="3" fillId="0" borderId="3" xfId="3" applyNumberFormat="1" applyFont="1" applyBorder="1" applyAlignment="1">
      <alignment horizontal="center" vertical="center"/>
    </xf>
    <xf numFmtId="167" fontId="3" fillId="0" borderId="3" xfId="4" applyFont="1" applyFill="1" applyBorder="1" applyAlignment="1" applyProtection="1">
      <alignment horizontal="center" vertical="center"/>
    </xf>
    <xf numFmtId="0" fontId="4" fillId="0" borderId="3" xfId="3" applyFont="1" applyBorder="1" applyAlignment="1">
      <alignment horizontal="left" vertical="center" wrapText="1"/>
    </xf>
    <xf numFmtId="168" fontId="4" fillId="3" borderId="3" xfId="4" applyNumberFormat="1" applyFont="1" applyFill="1" applyBorder="1" applyAlignment="1" applyProtection="1">
      <alignment horizontal="center" vertical="center"/>
    </xf>
    <xf numFmtId="38" fontId="3" fillId="0" borderId="3" xfId="3" applyNumberFormat="1" applyFont="1" applyBorder="1" applyAlignment="1">
      <alignment horizontal="center" vertical="center" wrapText="1"/>
    </xf>
    <xf numFmtId="0" fontId="3" fillId="0" borderId="3" xfId="5" applyFont="1" applyBorder="1" applyAlignment="1">
      <alignment horizontal="center" vertical="center" wrapText="1"/>
    </xf>
    <xf numFmtId="0" fontId="4" fillId="3" borderId="3" xfId="5" applyFont="1" applyFill="1" applyBorder="1" applyAlignment="1">
      <alignment horizontal="center" vertical="center" wrapText="1"/>
    </xf>
    <xf numFmtId="168" fontId="3" fillId="0" borderId="3" xfId="4" applyNumberFormat="1" applyFont="1" applyBorder="1" applyAlignment="1" applyProtection="1">
      <alignment horizontal="center" vertical="center" wrapText="1"/>
    </xf>
    <xf numFmtId="167" fontId="3" fillId="0" borderId="3" xfId="4" applyFont="1" applyBorder="1" applyAlignment="1" applyProtection="1">
      <alignment horizontal="center" vertical="center" wrapText="1"/>
    </xf>
    <xf numFmtId="168" fontId="4" fillId="0" borderId="3" xfId="4" applyNumberFormat="1" applyFont="1" applyBorder="1" applyAlignment="1" applyProtection="1">
      <alignment horizontal="center" vertical="center" wrapText="1"/>
    </xf>
    <xf numFmtId="0" fontId="4" fillId="3" borderId="3" xfId="3" applyFont="1" applyFill="1" applyBorder="1" applyAlignment="1">
      <alignment horizontal="center" vertical="center" wrapText="1"/>
    </xf>
    <xf numFmtId="43" fontId="3" fillId="0" borderId="0" xfId="3" applyNumberFormat="1" applyFont="1" applyAlignment="1">
      <alignment horizontal="center" vertical="center"/>
    </xf>
    <xf numFmtId="38" fontId="3" fillId="0" borderId="5" xfId="3" applyNumberFormat="1" applyFont="1" applyBorder="1" applyAlignment="1">
      <alignment horizontal="center" vertical="center"/>
    </xf>
    <xf numFmtId="166" fontId="4" fillId="0" borderId="3" xfId="2" applyFont="1" applyFill="1" applyBorder="1" applyAlignment="1" applyProtection="1">
      <alignment horizontal="center" vertical="center" wrapText="1"/>
    </xf>
    <xf numFmtId="166" fontId="4" fillId="0" borderId="3" xfId="2" applyFont="1" applyFill="1" applyBorder="1" applyAlignment="1" applyProtection="1">
      <alignment horizontal="center" vertical="center"/>
    </xf>
    <xf numFmtId="38" fontId="3" fillId="5" borderId="3" xfId="3" applyNumberFormat="1" applyFont="1" applyFill="1" applyBorder="1" applyAlignment="1">
      <alignment horizontal="center" vertical="center"/>
    </xf>
    <xf numFmtId="38" fontId="3" fillId="5" borderId="3" xfId="3" applyNumberFormat="1" applyFont="1" applyFill="1" applyBorder="1" applyAlignment="1">
      <alignment horizontal="center" vertical="center" wrapText="1"/>
    </xf>
    <xf numFmtId="0" fontId="4" fillId="5" borderId="3" xfId="3" applyFont="1" applyFill="1" applyBorder="1" applyAlignment="1">
      <alignment horizontal="left" vertical="center" wrapText="1"/>
    </xf>
    <xf numFmtId="38" fontId="4" fillId="5" borderId="3" xfId="3" applyNumberFormat="1" applyFont="1" applyFill="1" applyBorder="1" applyAlignment="1">
      <alignment horizontal="left" vertical="center" wrapText="1"/>
    </xf>
    <xf numFmtId="0" fontId="3" fillId="0" borderId="4" xfId="5" applyFont="1" applyBorder="1" applyAlignment="1">
      <alignment horizontal="center" vertical="center"/>
    </xf>
    <xf numFmtId="2" fontId="3" fillId="0" borderId="3" xfId="5" applyNumberFormat="1" applyFont="1" applyBorder="1" applyAlignment="1">
      <alignment horizontal="center" vertical="center" wrapText="1"/>
    </xf>
    <xf numFmtId="1" fontId="3" fillId="0" borderId="3" xfId="5" applyNumberFormat="1" applyFont="1" applyBorder="1" applyAlignment="1">
      <alignment horizontal="center" vertical="center" wrapText="1"/>
    </xf>
    <xf numFmtId="0" fontId="3" fillId="5" borderId="3" xfId="3" applyFont="1" applyFill="1" applyBorder="1" applyAlignment="1">
      <alignment horizontal="center" vertical="center"/>
    </xf>
    <xf numFmtId="171" fontId="3" fillId="0" borderId="3" xfId="0" applyNumberFormat="1" applyFont="1" applyBorder="1" applyAlignment="1">
      <alignment horizontal="center" vertical="center" wrapText="1"/>
    </xf>
    <xf numFmtId="171" fontId="4" fillId="0" borderId="3" xfId="3" applyNumberFormat="1" applyFont="1" applyBorder="1" applyAlignment="1">
      <alignment horizontal="left" vertical="center" wrapText="1"/>
    </xf>
    <xf numFmtId="38" fontId="4" fillId="5" borderId="3" xfId="3" applyNumberFormat="1" applyFont="1" applyFill="1" applyBorder="1" applyAlignment="1">
      <alignment horizontal="center" vertical="center" wrapText="1"/>
    </xf>
    <xf numFmtId="0" fontId="4" fillId="0" borderId="3" xfId="3" applyFont="1" applyBorder="1" applyAlignment="1">
      <alignment horizontal="center" vertical="center"/>
    </xf>
    <xf numFmtId="166" fontId="3" fillId="5" borderId="3" xfId="3" applyNumberFormat="1" applyFont="1" applyFill="1" applyBorder="1" applyAlignment="1">
      <alignment horizontal="center" vertical="center"/>
    </xf>
    <xf numFmtId="170" fontId="3" fillId="5" borderId="3" xfId="3" applyNumberFormat="1" applyFont="1" applyFill="1" applyBorder="1" applyAlignment="1">
      <alignment horizontal="center" vertical="center"/>
    </xf>
    <xf numFmtId="2" fontId="3" fillId="5" borderId="3" xfId="3" applyNumberFormat="1" applyFont="1" applyFill="1" applyBorder="1" applyAlignment="1">
      <alignment horizontal="center" vertical="center"/>
    </xf>
    <xf numFmtId="168" fontId="3" fillId="0" borderId="3" xfId="3" applyNumberFormat="1" applyFont="1" applyBorder="1" applyAlignment="1">
      <alignment horizontal="center" vertical="center"/>
    </xf>
    <xf numFmtId="0" fontId="11" fillId="0" borderId="3" xfId="3" applyFont="1" applyBorder="1" applyAlignment="1">
      <alignment horizontal="center" vertical="center"/>
    </xf>
    <xf numFmtId="166" fontId="11" fillId="6" borderId="3" xfId="3" applyNumberFormat="1" applyFont="1" applyFill="1" applyBorder="1" applyAlignment="1">
      <alignment horizontal="center" vertical="center"/>
    </xf>
    <xf numFmtId="166" fontId="12" fillId="0" borderId="0" xfId="3" applyNumberFormat="1" applyFont="1" applyAlignment="1">
      <alignment horizontal="center" vertical="center"/>
    </xf>
    <xf numFmtId="0" fontId="3" fillId="0" borderId="0" xfId="3" quotePrefix="1" applyFont="1" applyAlignment="1">
      <alignment horizontal="center" vertical="center"/>
    </xf>
    <xf numFmtId="167" fontId="3" fillId="0" borderId="0" xfId="3" applyNumberFormat="1" applyFont="1" applyAlignment="1">
      <alignment horizontal="center" vertical="center"/>
    </xf>
    <xf numFmtId="38" fontId="3" fillId="7" borderId="3" xfId="3" applyNumberFormat="1" applyFont="1" applyFill="1" applyBorder="1" applyAlignment="1">
      <alignment horizontal="center" vertical="center"/>
    </xf>
    <xf numFmtId="38" fontId="3" fillId="0" borderId="4" xfId="3" applyNumberFormat="1" applyFont="1" applyBorder="1" applyAlignment="1">
      <alignment horizontal="center" vertical="center" wrapText="1"/>
    </xf>
    <xf numFmtId="0" fontId="3" fillId="0" borderId="4" xfId="3" applyFont="1" applyBorder="1" applyAlignment="1">
      <alignment horizontal="left" vertical="center" wrapText="1"/>
    </xf>
    <xf numFmtId="0" fontId="3" fillId="0" borderId="4" xfId="0" applyFont="1" applyBorder="1" applyAlignment="1">
      <alignment horizontal="center" vertical="center" wrapText="1"/>
    </xf>
    <xf numFmtId="1" fontId="3" fillId="0" borderId="4" xfId="0" applyNumberFormat="1" applyFont="1" applyBorder="1" applyAlignment="1">
      <alignment horizontal="center" vertical="center" wrapText="1"/>
    </xf>
    <xf numFmtId="166" fontId="3" fillId="0" borderId="4" xfId="3" applyNumberFormat="1" applyFont="1" applyBorder="1" applyAlignment="1">
      <alignment horizontal="center" vertical="center"/>
    </xf>
    <xf numFmtId="170" fontId="3" fillId="2" borderId="4" xfId="3" applyNumberFormat="1" applyFont="1" applyFill="1" applyBorder="1" applyAlignment="1">
      <alignment horizontal="center" vertical="center"/>
    </xf>
    <xf numFmtId="2" fontId="3" fillId="2" borderId="4" xfId="3" applyNumberFormat="1" applyFont="1" applyFill="1" applyBorder="1" applyAlignment="1">
      <alignment horizontal="center" vertical="center"/>
    </xf>
    <xf numFmtId="167" fontId="3" fillId="0" borderId="10" xfId="4" applyFont="1" applyFill="1" applyBorder="1" applyAlignment="1" applyProtection="1">
      <alignment horizontal="center" vertical="center"/>
    </xf>
    <xf numFmtId="0" fontId="3" fillId="5" borderId="0" xfId="3" applyFont="1" applyFill="1" applyAlignment="1">
      <alignment horizontal="center" vertical="center"/>
    </xf>
    <xf numFmtId="2" fontId="3" fillId="2" borderId="5" xfId="3" applyNumberFormat="1" applyFont="1" applyFill="1" applyBorder="1" applyAlignment="1">
      <alignment horizontal="center" vertical="center"/>
    </xf>
    <xf numFmtId="0" fontId="11" fillId="0" borderId="4" xfId="3" applyFont="1" applyBorder="1" applyAlignment="1">
      <alignment horizontal="center" vertical="center"/>
    </xf>
    <xf numFmtId="166" fontId="11" fillId="6" borderId="4" xfId="3" applyNumberFormat="1" applyFont="1" applyFill="1" applyBorder="1" applyAlignment="1">
      <alignment horizontal="center" vertical="center"/>
    </xf>
    <xf numFmtId="166" fontId="3" fillId="0" borderId="10" xfId="3" applyNumberFormat="1" applyFont="1" applyBorder="1" applyAlignment="1">
      <alignment horizontal="center" vertical="center"/>
    </xf>
    <xf numFmtId="38" fontId="3" fillId="0" borderId="5" xfId="3" applyNumberFormat="1" applyFont="1" applyBorder="1" applyAlignment="1">
      <alignment horizontal="center" vertical="center"/>
    </xf>
    <xf numFmtId="38" fontId="3" fillId="0" borderId="4" xfId="3" applyNumberFormat="1" applyFont="1" applyBorder="1" applyAlignment="1">
      <alignment horizontal="center" vertical="center"/>
    </xf>
    <xf numFmtId="38" fontId="3" fillId="0" borderId="10" xfId="3" applyNumberFormat="1" applyFont="1" applyBorder="1" applyAlignment="1">
      <alignment horizontal="center" vertical="center"/>
    </xf>
    <xf numFmtId="14" fontId="3" fillId="0" borderId="9" xfId="3" applyNumberFormat="1" applyFont="1" applyBorder="1" applyAlignment="1">
      <alignment horizontal="left" vertical="center" wrapText="1"/>
    </xf>
    <xf numFmtId="0" fontId="3" fillId="0" borderId="0" xfId="3" applyFont="1" applyAlignment="1">
      <alignment horizontal="left" vertical="center" wrapText="1"/>
    </xf>
    <xf numFmtId="0" fontId="3" fillId="0" borderId="7" xfId="3" applyFont="1" applyBorder="1" applyAlignment="1">
      <alignment horizontal="left" vertical="center" wrapText="1"/>
    </xf>
    <xf numFmtId="0" fontId="3" fillId="0" borderId="6" xfId="3" applyFont="1" applyBorder="1" applyAlignment="1">
      <alignment horizontal="left" vertical="center" wrapText="1"/>
    </xf>
    <xf numFmtId="0" fontId="7" fillId="0" borderId="11" xfId="3" applyFont="1" applyBorder="1" applyAlignment="1">
      <alignment horizontal="center" vertical="center"/>
    </xf>
    <xf numFmtId="0" fontId="7" fillId="0" borderId="12" xfId="3" applyFont="1" applyBorder="1" applyAlignment="1">
      <alignment horizontal="center" vertical="center"/>
    </xf>
    <xf numFmtId="0" fontId="7" fillId="0" borderId="2" xfId="3" applyFont="1" applyBorder="1" applyAlignment="1">
      <alignment horizontal="center" vertical="center"/>
    </xf>
    <xf numFmtId="0" fontId="3" fillId="0" borderId="0" xfId="3" applyFont="1" applyAlignment="1">
      <alignment horizontal="center" vertical="center"/>
    </xf>
    <xf numFmtId="0" fontId="3" fillId="0" borderId="7" xfId="3" applyFont="1" applyBorder="1" applyAlignment="1">
      <alignment horizontal="left" vertical="center"/>
    </xf>
    <xf numFmtId="0" fontId="3" fillId="0" borderId="6" xfId="3" applyFont="1" applyBorder="1" applyAlignment="1">
      <alignment horizontal="left" vertical="center"/>
    </xf>
    <xf numFmtId="0" fontId="3" fillId="0" borderId="8" xfId="3" applyFont="1" applyBorder="1" applyAlignment="1">
      <alignment horizontal="left" vertical="center"/>
    </xf>
    <xf numFmtId="0" fontId="6" fillId="0" borderId="9" xfId="3" applyFont="1" applyBorder="1" applyAlignment="1">
      <alignment horizontal="center" vertical="center"/>
    </xf>
    <xf numFmtId="0" fontId="6" fillId="0" borderId="0" xfId="3" applyFont="1" applyAlignment="1">
      <alignment horizontal="center" vertical="center"/>
    </xf>
    <xf numFmtId="0" fontId="6" fillId="0" borderId="1" xfId="3" applyFont="1" applyBorder="1" applyAlignment="1">
      <alignment horizontal="center" vertical="center"/>
    </xf>
    <xf numFmtId="0" fontId="4" fillId="0" borderId="11" xfId="3" applyFont="1" applyBorder="1" applyAlignment="1">
      <alignment horizontal="left" vertical="center"/>
    </xf>
    <xf numFmtId="0" fontId="4" fillId="0" borderId="12" xfId="3" applyFont="1" applyBorder="1" applyAlignment="1">
      <alignment horizontal="left" vertical="center"/>
    </xf>
    <xf numFmtId="0" fontId="4" fillId="0" borderId="11" xfId="3" applyFont="1" applyBorder="1" applyAlignment="1">
      <alignment horizontal="left" vertical="center" wrapText="1"/>
    </xf>
    <xf numFmtId="0" fontId="4" fillId="0" borderId="12" xfId="3" applyFont="1" applyBorder="1" applyAlignment="1">
      <alignment horizontal="left" vertical="center" wrapText="1"/>
    </xf>
    <xf numFmtId="0" fontId="4" fillId="0" borderId="2" xfId="3" applyFont="1" applyBorder="1" applyAlignment="1">
      <alignment horizontal="left" vertical="center" wrapText="1"/>
    </xf>
    <xf numFmtId="0" fontId="3" fillId="0" borderId="9" xfId="3" applyFont="1" applyBorder="1" applyAlignment="1">
      <alignment horizontal="left" vertical="center" wrapText="1"/>
    </xf>
    <xf numFmtId="0" fontId="3" fillId="0" borderId="1" xfId="3" applyFont="1" applyBorder="1" applyAlignment="1">
      <alignment horizontal="left" vertical="center" wrapText="1"/>
    </xf>
    <xf numFmtId="0" fontId="3" fillId="0" borderId="8" xfId="3" applyFont="1" applyBorder="1" applyAlignment="1">
      <alignment horizontal="left" vertical="center" wrapText="1"/>
    </xf>
    <xf numFmtId="0" fontId="3" fillId="0" borderId="15" xfId="3" applyFont="1" applyBorder="1" applyAlignment="1">
      <alignment horizontal="left" vertical="center" wrapText="1"/>
    </xf>
    <xf numFmtId="0" fontId="3" fillId="0" borderId="13" xfId="3" applyFont="1" applyBorder="1" applyAlignment="1">
      <alignment horizontal="left" vertical="center" wrapText="1"/>
    </xf>
    <xf numFmtId="0" fontId="3" fillId="0" borderId="3" xfId="3" applyFont="1" applyBorder="1" applyAlignment="1">
      <alignment horizontal="right" vertical="center"/>
    </xf>
    <xf numFmtId="0" fontId="4" fillId="0" borderId="3" xfId="3" applyFont="1" applyBorder="1" applyAlignment="1">
      <alignment horizontal="right" vertical="center"/>
    </xf>
    <xf numFmtId="0" fontId="4" fillId="0" borderId="2" xfId="3" applyFont="1" applyBorder="1" applyAlignment="1">
      <alignment horizontal="left" vertical="center"/>
    </xf>
    <xf numFmtId="0" fontId="4" fillId="3" borderId="3" xfId="3" applyFont="1" applyFill="1" applyBorder="1" applyAlignment="1">
      <alignment horizontal="center" vertical="center" wrapText="1"/>
    </xf>
    <xf numFmtId="0" fontId="4" fillId="3" borderId="3" xfId="3" applyFont="1" applyFill="1" applyBorder="1" applyAlignment="1">
      <alignment horizontal="center" vertical="center"/>
    </xf>
    <xf numFmtId="0" fontId="4" fillId="0" borderId="3" xfId="3" applyFont="1" applyBorder="1" applyAlignment="1">
      <alignment horizontal="center" vertical="center"/>
    </xf>
    <xf numFmtId="38" fontId="3" fillId="0" borderId="3" xfId="3" applyNumberFormat="1" applyFont="1" applyBorder="1" applyAlignment="1">
      <alignment horizontal="center" vertical="center" wrapText="1"/>
    </xf>
    <xf numFmtId="0" fontId="7" fillId="0" borderId="0" xfId="3" applyFont="1" applyAlignment="1">
      <alignment horizontal="center" vertical="center"/>
    </xf>
    <xf numFmtId="0" fontId="4" fillId="0" borderId="3" xfId="3" applyFont="1" applyBorder="1" applyAlignment="1">
      <alignment horizontal="center" vertical="center" wrapText="1"/>
    </xf>
    <xf numFmtId="0" fontId="3" fillId="0" borderId="3" xfId="0" applyFont="1" applyBorder="1" applyAlignment="1">
      <alignment horizontal="center" vertical="center"/>
    </xf>
    <xf numFmtId="0" fontId="4" fillId="0" borderId="14" xfId="3" applyFont="1" applyBorder="1" applyAlignment="1">
      <alignment horizontal="left" vertical="center"/>
    </xf>
    <xf numFmtId="166" fontId="4" fillId="0" borderId="3" xfId="2" applyFont="1" applyFill="1" applyBorder="1" applyAlignment="1" applyProtection="1">
      <alignment horizontal="center" vertical="center" wrapText="1"/>
    </xf>
    <xf numFmtId="166" fontId="4" fillId="0" borderId="3" xfId="2" applyFont="1" applyFill="1" applyBorder="1" applyAlignment="1" applyProtection="1">
      <alignment horizontal="center" vertical="center"/>
    </xf>
    <xf numFmtId="0" fontId="3" fillId="0" borderId="13" xfId="3" applyFont="1" applyBorder="1" applyAlignment="1">
      <alignment horizontal="left" vertical="center"/>
    </xf>
    <xf numFmtId="0" fontId="4" fillId="3" borderId="5" xfId="3" applyFont="1" applyFill="1" applyBorder="1" applyAlignment="1">
      <alignment horizontal="center" vertical="center" wrapText="1"/>
    </xf>
    <xf numFmtId="0" fontId="4" fillId="3" borderId="4" xfId="3" applyFont="1" applyFill="1" applyBorder="1" applyAlignment="1">
      <alignment horizontal="center" vertical="center" wrapText="1"/>
    </xf>
    <xf numFmtId="0" fontId="4" fillId="3" borderId="10" xfId="3" applyFont="1" applyFill="1" applyBorder="1" applyAlignment="1">
      <alignment horizontal="center" vertical="center" wrapText="1"/>
    </xf>
    <xf numFmtId="0" fontId="4" fillId="3" borderId="5" xfId="3" applyFont="1" applyFill="1" applyBorder="1" applyAlignment="1">
      <alignment horizontal="center" vertical="center"/>
    </xf>
    <xf numFmtId="0" fontId="4" fillId="3" borderId="4" xfId="3" applyFont="1" applyFill="1" applyBorder="1" applyAlignment="1">
      <alignment horizontal="center" vertical="center"/>
    </xf>
    <xf numFmtId="0" fontId="4" fillId="3" borderId="10" xfId="3" applyFont="1" applyFill="1" applyBorder="1" applyAlignment="1">
      <alignment horizontal="center" vertical="center"/>
    </xf>
    <xf numFmtId="38" fontId="3" fillId="0" borderId="14" xfId="3" applyNumberFormat="1" applyFont="1" applyBorder="1" applyAlignment="1">
      <alignment horizontal="center" vertical="center" wrapText="1"/>
    </xf>
    <xf numFmtId="38" fontId="3" fillId="0" borderId="15" xfId="3" applyNumberFormat="1" applyFont="1" applyBorder="1" applyAlignment="1">
      <alignment horizontal="center" vertical="center" wrapText="1"/>
    </xf>
    <xf numFmtId="38" fontId="3" fillId="0" borderId="13" xfId="3" applyNumberFormat="1" applyFont="1" applyBorder="1" applyAlignment="1">
      <alignment horizontal="center" vertical="center" wrapText="1"/>
    </xf>
    <xf numFmtId="38" fontId="7" fillId="0" borderId="5" xfId="3" applyNumberFormat="1" applyFont="1" applyBorder="1" applyAlignment="1">
      <alignment horizontal="center" vertical="center"/>
    </xf>
    <xf numFmtId="38" fontId="7" fillId="0" borderId="4" xfId="3" applyNumberFormat="1" applyFont="1" applyBorder="1" applyAlignment="1">
      <alignment horizontal="center" vertical="center"/>
    </xf>
    <xf numFmtId="38" fontId="7" fillId="0" borderId="10" xfId="3" applyNumberFormat="1" applyFont="1" applyBorder="1" applyAlignment="1">
      <alignment horizontal="center" vertical="center"/>
    </xf>
    <xf numFmtId="0" fontId="4" fillId="0" borderId="14" xfId="3" applyFont="1" applyBorder="1" applyAlignment="1">
      <alignment horizontal="center" vertical="center" wrapText="1"/>
    </xf>
    <xf numFmtId="0" fontId="4" fillId="0" borderId="13" xfId="3" applyFont="1" applyBorder="1" applyAlignment="1">
      <alignment horizontal="center" vertical="center" wrapText="1"/>
    </xf>
    <xf numFmtId="0" fontId="4" fillId="0" borderId="14" xfId="3" applyFont="1" applyBorder="1" applyAlignment="1">
      <alignment horizontal="center" vertical="center"/>
    </xf>
    <xf numFmtId="0" fontId="4" fillId="0" borderId="13" xfId="3" applyFont="1" applyBorder="1" applyAlignment="1">
      <alignment horizontal="center" vertical="center"/>
    </xf>
    <xf numFmtId="0" fontId="4" fillId="0" borderId="5" xfId="3" applyFont="1" applyBorder="1" applyAlignment="1">
      <alignment horizontal="center" vertical="center"/>
    </xf>
    <xf numFmtId="0" fontId="4" fillId="0" borderId="4" xfId="3" applyFont="1" applyBorder="1" applyAlignment="1">
      <alignment horizontal="center" vertical="center"/>
    </xf>
    <xf numFmtId="0" fontId="4" fillId="0" borderId="10" xfId="3" applyFont="1" applyBorder="1" applyAlignment="1">
      <alignment horizontal="center" vertical="center"/>
    </xf>
    <xf numFmtId="166" fontId="4" fillId="0" borderId="5" xfId="2" applyFont="1" applyFill="1" applyBorder="1" applyAlignment="1" applyProtection="1">
      <alignment horizontal="center" vertical="center"/>
    </xf>
    <xf numFmtId="166" fontId="4" fillId="0" borderId="4" xfId="2" applyFont="1" applyFill="1" applyBorder="1" applyAlignment="1" applyProtection="1">
      <alignment horizontal="center" vertical="center"/>
    </xf>
    <xf numFmtId="166" fontId="4" fillId="0" borderId="10" xfId="2" applyFont="1" applyFill="1" applyBorder="1" applyAlignment="1" applyProtection="1">
      <alignment horizontal="center" vertical="center"/>
    </xf>
    <xf numFmtId="166" fontId="4" fillId="0" borderId="14" xfId="2" applyFont="1" applyFill="1" applyBorder="1" applyAlignment="1" applyProtection="1">
      <alignment horizontal="center" vertical="center" wrapText="1"/>
    </xf>
    <xf numFmtId="166" fontId="4" fillId="0" borderId="13" xfId="2" applyFont="1" applyFill="1" applyBorder="1" applyAlignment="1" applyProtection="1">
      <alignment horizontal="center" vertical="center" wrapText="1"/>
    </xf>
    <xf numFmtId="0" fontId="3" fillId="0" borderId="3" xfId="5" applyFont="1" applyBorder="1" applyAlignment="1">
      <alignment horizontal="center" vertical="center"/>
    </xf>
  </cellXfs>
  <cellStyles count="7">
    <cellStyle name="Currency" xfId="4" builtinId="4"/>
    <cellStyle name="Currency [0]_Addendum #8" xfId="1" xr:uid="{00000000-0005-0000-0000-000001000000}"/>
    <cellStyle name="Currency_Addendum #8" xfId="2" xr:uid="{00000000-0005-0000-0000-000002000000}"/>
    <cellStyle name="Normal" xfId="0" builtinId="0"/>
    <cellStyle name="Normal 2" xfId="5" xr:uid="{00000000-0005-0000-0000-000004000000}"/>
    <cellStyle name="Normal 2 2" xfId="6" xr:uid="{00000000-0005-0000-0000-000005000000}"/>
    <cellStyle name="Normal_Addendum #8" xfId="3" xr:uid="{00000000-0005-0000-0000-000006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0070C0"/>
    <pageSetUpPr fitToPage="1"/>
  </sheetPr>
  <dimension ref="B1:O29"/>
  <sheetViews>
    <sheetView showGridLines="0" showZeros="0" view="pageBreakPreview" zoomScale="85" zoomScaleNormal="100" zoomScaleSheetLayoutView="85" workbookViewId="0">
      <selection activeCell="D28" sqref="D28"/>
    </sheetView>
  </sheetViews>
  <sheetFormatPr defaultColWidth="9.109375" defaultRowHeight="13.8" x14ac:dyDescent="0.25"/>
  <cols>
    <col min="1" max="1" width="1.5546875" style="11" customWidth="1"/>
    <col min="2" max="2" width="6.6640625" style="11" customWidth="1"/>
    <col min="3" max="3" width="12.6640625" style="11" customWidth="1"/>
    <col min="4" max="4" width="60.6640625" style="1" customWidth="1"/>
    <col min="5" max="6" width="12.6640625" style="1" customWidth="1"/>
    <col min="7" max="7" width="12.6640625" style="11" customWidth="1"/>
    <col min="8" max="8" width="9.33203125" style="11" customWidth="1"/>
    <col min="9" max="10" width="13.44140625" style="11" customWidth="1"/>
    <col min="11" max="16384" width="9.109375" style="11"/>
  </cols>
  <sheetData>
    <row r="1" spans="2:15" ht="9" customHeight="1" x14ac:dyDescent="0.25">
      <c r="I1" s="26"/>
      <c r="J1" s="26"/>
    </row>
    <row r="2" spans="2:15" ht="21.9" customHeight="1" x14ac:dyDescent="0.25">
      <c r="B2" s="105" t="s">
        <v>39</v>
      </c>
      <c r="C2" s="106"/>
      <c r="D2" s="106"/>
      <c r="E2" s="106"/>
      <c r="F2" s="106"/>
      <c r="G2" s="107"/>
      <c r="H2" s="108"/>
      <c r="I2" s="108"/>
      <c r="J2" s="108"/>
      <c r="K2" s="108"/>
      <c r="L2" s="108"/>
    </row>
    <row r="3" spans="2:15" ht="12.6" customHeight="1" x14ac:dyDescent="0.25">
      <c r="B3" s="109"/>
      <c r="C3" s="110"/>
      <c r="D3" s="110"/>
      <c r="E3" s="110"/>
      <c r="F3" s="110"/>
      <c r="G3" s="111"/>
    </row>
    <row r="4" spans="2:15" ht="12.6" customHeight="1" x14ac:dyDescent="0.25">
      <c r="B4" s="40"/>
      <c r="C4" s="18"/>
      <c r="D4" s="18"/>
      <c r="E4" s="18"/>
      <c r="F4" s="18"/>
      <c r="G4" s="19"/>
    </row>
    <row r="5" spans="2:15" ht="12.6" customHeight="1" x14ac:dyDescent="0.25">
      <c r="B5" s="41"/>
      <c r="D5" s="11"/>
      <c r="E5" s="11"/>
      <c r="F5" s="11"/>
      <c r="G5" s="20"/>
    </row>
    <row r="6" spans="2:15" ht="12.6" customHeight="1" x14ac:dyDescent="0.25">
      <c r="B6" s="41"/>
      <c r="G6" s="20"/>
      <c r="I6" s="108"/>
      <c r="J6" s="108"/>
      <c r="K6" s="108"/>
      <c r="L6" s="108"/>
      <c r="M6" s="108"/>
      <c r="O6" s="2"/>
    </row>
    <row r="7" spans="2:15" ht="12.6" customHeight="1" x14ac:dyDescent="0.25">
      <c r="B7" s="41"/>
      <c r="G7" s="20"/>
      <c r="O7" s="2"/>
    </row>
    <row r="8" spans="2:15" ht="12.6" customHeight="1" x14ac:dyDescent="0.25">
      <c r="B8" s="41"/>
      <c r="G8" s="20"/>
      <c r="I8" s="108"/>
      <c r="J8" s="108"/>
      <c r="K8" s="108"/>
      <c r="L8" s="108"/>
      <c r="M8" s="108"/>
      <c r="N8" s="4"/>
      <c r="O8" s="2"/>
    </row>
    <row r="9" spans="2:15" ht="12.6" customHeight="1" x14ac:dyDescent="0.25">
      <c r="B9" s="41"/>
      <c r="D9" s="36"/>
      <c r="E9" s="36"/>
      <c r="F9" s="36"/>
      <c r="G9" s="20"/>
      <c r="I9" s="108"/>
      <c r="J9" s="108"/>
      <c r="K9" s="108"/>
      <c r="L9" s="108"/>
      <c r="M9" s="108"/>
      <c r="N9" s="4"/>
      <c r="O9" s="2"/>
    </row>
    <row r="10" spans="2:15" ht="12.6" customHeight="1" x14ac:dyDescent="0.25">
      <c r="B10" s="112"/>
      <c r="C10" s="113"/>
      <c r="D10" s="113"/>
      <c r="E10" s="113"/>
      <c r="F10" s="113"/>
      <c r="G10" s="114"/>
      <c r="I10" s="108"/>
      <c r="J10" s="108"/>
      <c r="K10" s="108"/>
      <c r="L10" s="108"/>
      <c r="M10" s="108"/>
      <c r="N10" s="4"/>
      <c r="O10" s="2"/>
    </row>
    <row r="11" spans="2:15" ht="12.6" customHeight="1" x14ac:dyDescent="0.25">
      <c r="B11" s="41"/>
      <c r="G11" s="20"/>
      <c r="I11" s="108"/>
      <c r="J11" s="108"/>
      <c r="K11" s="108"/>
      <c r="L11" s="108"/>
      <c r="M11" s="108"/>
      <c r="N11" s="4"/>
      <c r="O11" s="2"/>
    </row>
    <row r="12" spans="2:15" x14ac:dyDescent="0.25">
      <c r="B12" s="42"/>
      <c r="C12" s="21"/>
      <c r="D12" s="21"/>
      <c r="E12" s="21"/>
      <c r="F12" s="21"/>
      <c r="G12" s="22"/>
      <c r="I12" s="108"/>
      <c r="J12" s="108"/>
      <c r="K12" s="108"/>
      <c r="L12" s="108"/>
      <c r="M12" s="108"/>
      <c r="O12" s="2"/>
    </row>
    <row r="13" spans="2:15" x14ac:dyDescent="0.25">
      <c r="B13" s="44"/>
      <c r="C13" s="37"/>
      <c r="D13" s="37"/>
      <c r="E13" s="37"/>
      <c r="F13" s="37"/>
      <c r="G13" s="38"/>
    </row>
    <row r="14" spans="2:15" ht="12.75" customHeight="1" x14ac:dyDescent="0.25">
      <c r="B14" s="115" t="s">
        <v>27</v>
      </c>
      <c r="C14" s="116"/>
      <c r="D14" s="16" t="s">
        <v>36</v>
      </c>
      <c r="E14" s="117" t="str">
        <f>Concrete!J15</f>
        <v>PROJECT LOCATION</v>
      </c>
      <c r="F14" s="118"/>
      <c r="G14" s="119"/>
    </row>
    <row r="15" spans="2:15" x14ac:dyDescent="0.25">
      <c r="B15" s="101"/>
      <c r="C15" s="102"/>
      <c r="D15" s="123"/>
      <c r="E15" s="120"/>
      <c r="F15" s="102"/>
      <c r="G15" s="121"/>
    </row>
    <row r="16" spans="2:15" x14ac:dyDescent="0.25">
      <c r="B16" s="103"/>
      <c r="C16" s="104"/>
      <c r="D16" s="124"/>
      <c r="E16" s="103"/>
      <c r="F16" s="104"/>
      <c r="G16" s="122"/>
    </row>
    <row r="17" spans="2:12" x14ac:dyDescent="0.25">
      <c r="B17" s="98"/>
      <c r="C17" s="99"/>
      <c r="D17" s="99"/>
      <c r="E17" s="99"/>
      <c r="F17" s="99"/>
      <c r="G17" s="100"/>
    </row>
    <row r="18" spans="2:12" s="12" customFormat="1" ht="27.6" x14ac:dyDescent="0.25">
      <c r="B18" s="13" t="s">
        <v>47</v>
      </c>
      <c r="C18" s="13" t="s">
        <v>42</v>
      </c>
      <c r="D18" s="58" t="s">
        <v>43</v>
      </c>
      <c r="E18" s="58" t="s">
        <v>44</v>
      </c>
      <c r="F18" s="58" t="s">
        <v>45</v>
      </c>
      <c r="G18" s="54" t="s">
        <v>46</v>
      </c>
      <c r="H18" s="11"/>
      <c r="I18" s="11"/>
      <c r="J18" s="11"/>
      <c r="K18" s="11"/>
      <c r="L18" s="11"/>
    </row>
    <row r="19" spans="2:12" x14ac:dyDescent="0.25">
      <c r="B19" s="48"/>
      <c r="C19" s="52"/>
      <c r="D19" s="8"/>
      <c r="E19" s="50"/>
      <c r="F19" s="50"/>
      <c r="G19" s="57"/>
    </row>
    <row r="20" spans="2:12" x14ac:dyDescent="0.25">
      <c r="B20" s="63" t="str">
        <f>IF(G20&lt;&gt;"",1+MAX($B$18:B19),"")</f>
        <v/>
      </c>
      <c r="C20" s="70"/>
      <c r="D20" s="66" t="s">
        <v>57</v>
      </c>
      <c r="E20" s="8"/>
      <c r="F20" s="8"/>
      <c r="G20" s="56"/>
    </row>
    <row r="21" spans="2:12" x14ac:dyDescent="0.25">
      <c r="B21" s="48">
        <f>IF(G21&lt;&gt;"",1+MAX($B$18:B20),"")</f>
        <v>1</v>
      </c>
      <c r="C21" s="52"/>
      <c r="D21" s="8" t="s">
        <v>183</v>
      </c>
      <c r="E21" s="55">
        <f>Concrete!R5+(Concrete!R5*(Concrete!$Q$8+Concrete!$Q$10+Concrete!$Q$12))+(Concrete!$Q$11*(Concrete!R5+Concrete!R5*Concrete!$Q$8+Concrete!R5*Concrete!$Q$10))</f>
        <v>466625.37013873807</v>
      </c>
      <c r="F21" s="55">
        <f>Concrete!R6+(Concrete!R6*(Concrete!$Q$9+Concrete!$Q$10+Concrete!$Q$12))+(Concrete!$Q$11*(Concrete!R6+Concrete!R6*Concrete!$Q$9+Concrete!R6*Concrete!$Q$10))</f>
        <v>623536.172794324</v>
      </c>
      <c r="G21" s="55">
        <f>Concrete!R13</f>
        <v>1090161.542933062</v>
      </c>
    </row>
    <row r="22" spans="2:12" x14ac:dyDescent="0.25">
      <c r="B22" s="48">
        <f>IF(G22&lt;&gt;"",1+MAX($B$18:B21),"")</f>
        <v>2</v>
      </c>
      <c r="C22" s="52"/>
      <c r="D22" s="8" t="s">
        <v>56</v>
      </c>
      <c r="E22" s="55">
        <f>'Site Work'!R5+('Site Work'!R5*('Site Work'!$Q$8+'Site Work'!$Q$10+'Site Work'!$Q$12))+('Site Work'!$Q$11*('Site Work'!R5+'Site Work'!R5*'Site Work'!$Q$8+'Site Work'!R5*'Site Work'!$Q$10))</f>
        <v>175083.62562425536</v>
      </c>
      <c r="F22" s="55">
        <f>'Site Work'!R6+('Site Work'!R6*('Site Work'!$Q$9+'Site Work'!$Q$10+'Site Work'!$Q$12))+('Site Work'!$Q$11*('Site Work'!R6+'Site Work'!R6*'Site Work'!$Q$9+'Site Work'!R6*'Site Work'!$Q$10))</f>
        <v>742225.95047519589</v>
      </c>
      <c r="G22" s="55">
        <f>'Site Work'!R13</f>
        <v>917309.5760994514</v>
      </c>
    </row>
    <row r="23" spans="2:12" x14ac:dyDescent="0.25">
      <c r="B23" s="48" t="str">
        <f>IF(G23&lt;&gt;"",1+MAX($B$18:B22),"")</f>
        <v/>
      </c>
      <c r="C23" s="52"/>
      <c r="D23" s="8"/>
      <c r="E23" s="50"/>
      <c r="F23" s="50"/>
      <c r="G23" s="57"/>
    </row>
    <row r="24" spans="2:12" x14ac:dyDescent="0.25">
      <c r="B24" s="48"/>
      <c r="C24" s="52"/>
      <c r="D24" s="50" t="s">
        <v>40</v>
      </c>
      <c r="E24" s="50"/>
      <c r="F24" s="50"/>
      <c r="G24" s="57">
        <f>SUM(G21:G23)</f>
        <v>2007471.1190325134</v>
      </c>
    </row>
    <row r="25" spans="2:12" x14ac:dyDescent="0.25">
      <c r="B25" s="48"/>
      <c r="C25" s="52"/>
      <c r="D25" s="8"/>
      <c r="E25" s="8"/>
      <c r="F25" s="8"/>
      <c r="G25" s="56"/>
    </row>
    <row r="26" spans="2:12" x14ac:dyDescent="0.25">
      <c r="B26" s="63" t="str">
        <f>IF(G26&lt;&gt;"",1+MAX($B$18:B25),"")</f>
        <v/>
      </c>
      <c r="C26" s="93"/>
      <c r="D26" s="66" t="s">
        <v>270</v>
      </c>
      <c r="E26" s="8"/>
      <c r="F26" s="8"/>
      <c r="G26" s="56"/>
    </row>
    <row r="27" spans="2:12" x14ac:dyDescent="0.25">
      <c r="B27" s="48" t="str">
        <f>IF(G27&lt;&gt;"",1+MAX($B$18:B26),"")</f>
        <v/>
      </c>
      <c r="C27" s="52"/>
      <c r="D27" s="8"/>
      <c r="E27" s="8"/>
      <c r="F27" s="8"/>
      <c r="G27" s="56"/>
    </row>
    <row r="28" spans="2:12" x14ac:dyDescent="0.25">
      <c r="B28" s="84">
        <f>IF(G28&lt;&gt;"",1+MAX($B$20:B27),"")</f>
        <v>3</v>
      </c>
      <c r="C28" s="52"/>
      <c r="D28" s="8" t="s">
        <v>256</v>
      </c>
      <c r="E28" s="55">
        <f>'Site Work'!I198</f>
        <v>0</v>
      </c>
      <c r="F28" s="55">
        <v>4686.5750305458878</v>
      </c>
      <c r="G28" s="55">
        <f>'Site Work'!R198</f>
        <v>4686.5750305458878</v>
      </c>
    </row>
    <row r="29" spans="2:12" x14ac:dyDescent="0.25">
      <c r="B29" s="48" t="str">
        <f>IF(C29&lt;&gt;"",1+MAX($B$18:B24),"")</f>
        <v/>
      </c>
      <c r="C29" s="52"/>
      <c r="D29" s="8"/>
      <c r="E29" s="8"/>
      <c r="F29" s="8"/>
      <c r="G29" s="53"/>
    </row>
  </sheetData>
  <mergeCells count="16">
    <mergeCell ref="B17:G17"/>
    <mergeCell ref="B15:C16"/>
    <mergeCell ref="B2:G2"/>
    <mergeCell ref="H2:L2"/>
    <mergeCell ref="B3:G3"/>
    <mergeCell ref="I6:M6"/>
    <mergeCell ref="I8:M8"/>
    <mergeCell ref="I9:M9"/>
    <mergeCell ref="B10:G10"/>
    <mergeCell ref="I10:M10"/>
    <mergeCell ref="I11:M11"/>
    <mergeCell ref="I12:M12"/>
    <mergeCell ref="B14:C14"/>
    <mergeCell ref="E14:G14"/>
    <mergeCell ref="E15:G16"/>
    <mergeCell ref="D15:D16"/>
  </mergeCells>
  <printOptions horizontalCentered="1"/>
  <pageMargins left="0.25" right="0.25" top="0.375" bottom="0.375" header="0.25" footer="0.25"/>
  <pageSetup paperSize="9" fitToHeight="0" orientation="landscape" horizontalDpi="300" verticalDpi="300" r:id="rId1"/>
  <headerFooter alignWithMargins="0">
    <oddFooter>&amp;R&amp;"Arial,Bold"&amp;P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0070C0"/>
    <pageSetUpPr fitToPage="1"/>
  </sheetPr>
  <dimension ref="B2:Z137"/>
  <sheetViews>
    <sheetView showGridLines="0" showZeros="0" tabSelected="1" view="pageBreakPreview" topLeftCell="C1" zoomScale="90" zoomScaleNormal="100" zoomScaleSheetLayoutView="90" workbookViewId="0">
      <selection activeCell="D41" sqref="D41"/>
    </sheetView>
  </sheetViews>
  <sheetFormatPr defaultColWidth="9.109375" defaultRowHeight="13.8" x14ac:dyDescent="0.25"/>
  <cols>
    <col min="1" max="1" width="1" style="11" customWidth="1"/>
    <col min="2" max="2" width="6.6640625" style="11" customWidth="1"/>
    <col min="3" max="3" width="12.6640625" style="11" customWidth="1"/>
    <col min="4" max="4" width="60.6640625" style="1" customWidth="1"/>
    <col min="5" max="6" width="12.6640625" style="11" customWidth="1"/>
    <col min="7" max="7" width="12.6640625" style="14" hidden="1" customWidth="1"/>
    <col min="8" max="10" width="12.6640625" style="14" customWidth="1"/>
    <col min="11" max="11" width="12.6640625" style="11" customWidth="1"/>
    <col min="12" max="12" width="12.6640625" style="11" hidden="1" customWidth="1"/>
    <col min="13" max="13" width="12.6640625" style="14" hidden="1" customWidth="1"/>
    <col min="14" max="14" width="12.6640625" style="14" customWidth="1"/>
    <col min="15" max="15" width="12.6640625" style="11" customWidth="1"/>
    <col min="16" max="18" width="12.6640625" style="14" customWidth="1"/>
    <col min="19" max="19" width="12.6640625" style="11" customWidth="1"/>
    <col min="20" max="21" width="12.6640625" style="11" hidden="1" customWidth="1"/>
    <col min="22" max="16384" width="9.109375" style="11"/>
  </cols>
  <sheetData>
    <row r="2" spans="2:26" ht="21.9" customHeight="1" x14ac:dyDescent="0.25">
      <c r="B2" s="132" t="s">
        <v>0</v>
      </c>
      <c r="C2" s="132"/>
      <c r="D2" s="132"/>
      <c r="E2" s="132"/>
      <c r="F2" s="132"/>
      <c r="G2" s="132"/>
      <c r="H2" s="132"/>
      <c r="I2" s="132"/>
      <c r="J2" s="132"/>
      <c r="K2" s="132"/>
      <c r="L2" s="132"/>
      <c r="M2" s="132"/>
      <c r="N2" s="132"/>
      <c r="O2" s="132"/>
      <c r="P2" s="132"/>
      <c r="Q2" s="132"/>
      <c r="R2" s="132"/>
      <c r="T2" s="25">
        <v>0.9</v>
      </c>
      <c r="U2" s="25">
        <v>1.34</v>
      </c>
    </row>
    <row r="3" spans="2:26" x14ac:dyDescent="0.25">
      <c r="B3" s="115" t="s">
        <v>2</v>
      </c>
      <c r="C3" s="116"/>
      <c r="D3" s="116"/>
      <c r="E3" s="116"/>
      <c r="F3" s="116"/>
      <c r="G3" s="116"/>
      <c r="H3" s="127"/>
      <c r="I3" s="135" t="s">
        <v>3</v>
      </c>
      <c r="J3" s="135"/>
      <c r="K3" s="135"/>
      <c r="L3" s="135"/>
      <c r="M3" s="135"/>
      <c r="N3" s="135"/>
      <c r="O3" s="135"/>
      <c r="P3" s="135"/>
      <c r="Q3" s="135"/>
      <c r="R3" s="135"/>
    </row>
    <row r="4" spans="2:26" ht="12.6" customHeight="1" x14ac:dyDescent="0.25">
      <c r="B4" s="109"/>
      <c r="C4" s="110"/>
      <c r="D4" s="110"/>
      <c r="E4" s="110"/>
      <c r="F4" s="110"/>
      <c r="G4" s="110"/>
      <c r="H4" s="111"/>
      <c r="I4" s="138"/>
      <c r="J4" s="138"/>
      <c r="K4" s="138"/>
      <c r="L4" s="138"/>
      <c r="M4" s="138"/>
      <c r="N4" s="138"/>
      <c r="O4" s="138"/>
      <c r="P4" s="138"/>
      <c r="Q4" s="138"/>
      <c r="R4" s="138"/>
      <c r="V4" s="82"/>
    </row>
    <row r="5" spans="2:26" ht="12.6" customHeight="1" x14ac:dyDescent="0.25">
      <c r="B5" s="40"/>
      <c r="C5" s="18"/>
      <c r="D5" s="18"/>
      <c r="E5" s="18"/>
      <c r="F5" s="18"/>
      <c r="G5" s="18"/>
      <c r="H5" s="19"/>
      <c r="I5" s="125" t="s">
        <v>18</v>
      </c>
      <c r="J5" s="125"/>
      <c r="K5" s="125"/>
      <c r="L5" s="125"/>
      <c r="M5" s="125"/>
      <c r="N5" s="125"/>
      <c r="O5" s="125"/>
      <c r="P5" s="125"/>
      <c r="Q5" s="9"/>
      <c r="R5" s="78">
        <f>SUM(I22:I110)</f>
        <v>336003.86688658007</v>
      </c>
    </row>
    <row r="6" spans="2:26" ht="12.6" customHeight="1" x14ac:dyDescent="0.25">
      <c r="B6" s="41"/>
      <c r="D6" s="11"/>
      <c r="G6" s="11"/>
      <c r="H6" s="20"/>
      <c r="I6" s="125" t="s">
        <v>19</v>
      </c>
      <c r="J6" s="125"/>
      <c r="K6" s="125"/>
      <c r="L6" s="125"/>
      <c r="M6" s="125"/>
      <c r="N6" s="125"/>
      <c r="O6" s="125"/>
      <c r="P6" s="125"/>
      <c r="Q6" s="9"/>
      <c r="R6" s="78">
        <f>SUM(P22:P110)</f>
        <v>436955.97252580518</v>
      </c>
    </row>
    <row r="7" spans="2:26" ht="12.6" customHeight="1" x14ac:dyDescent="0.25">
      <c r="B7" s="41"/>
      <c r="G7" s="11"/>
      <c r="H7" s="20"/>
      <c r="I7" s="125" t="s">
        <v>20</v>
      </c>
      <c r="J7" s="125"/>
      <c r="K7" s="125"/>
      <c r="L7" s="125"/>
      <c r="M7" s="125"/>
      <c r="N7" s="125"/>
      <c r="O7" s="125"/>
      <c r="P7" s="125"/>
      <c r="Q7" s="5"/>
      <c r="R7" s="78">
        <f>SUM(R5:R6)</f>
        <v>772959.83941238525</v>
      </c>
      <c r="S7" s="83"/>
      <c r="T7" s="37"/>
      <c r="U7" s="37"/>
      <c r="V7" s="37"/>
      <c r="W7" s="37"/>
      <c r="X7" s="37"/>
      <c r="Z7" s="2"/>
    </row>
    <row r="8" spans="2:26" ht="12.6" customHeight="1" x14ac:dyDescent="0.25">
      <c r="B8" s="41"/>
      <c r="G8" s="11"/>
      <c r="H8" s="20"/>
      <c r="I8" s="125" t="s">
        <v>21</v>
      </c>
      <c r="J8" s="125"/>
      <c r="K8" s="125"/>
      <c r="L8" s="125"/>
      <c r="M8" s="125"/>
      <c r="N8" s="125"/>
      <c r="O8" s="125"/>
      <c r="P8" s="125"/>
      <c r="Q8" s="3">
        <v>6.25E-2</v>
      </c>
      <c r="R8" s="78">
        <f>R5*Q8</f>
        <v>21000.241680411254</v>
      </c>
      <c r="Z8" s="2"/>
    </row>
    <row r="9" spans="2:26" ht="12.6" customHeight="1" x14ac:dyDescent="0.25">
      <c r="B9" s="41"/>
      <c r="G9" s="11"/>
      <c r="H9" s="20"/>
      <c r="I9" s="125" t="s">
        <v>22</v>
      </c>
      <c r="J9" s="125"/>
      <c r="K9" s="125"/>
      <c r="L9" s="125"/>
      <c r="M9" s="125"/>
      <c r="N9" s="125"/>
      <c r="O9" s="125"/>
      <c r="P9" s="125"/>
      <c r="Q9" s="3">
        <v>0.1</v>
      </c>
      <c r="R9" s="78">
        <f>R6*Q9</f>
        <v>43695.597252580519</v>
      </c>
      <c r="T9" s="37"/>
      <c r="U9" s="37"/>
      <c r="V9" s="37"/>
      <c r="W9" s="37"/>
      <c r="X9" s="37"/>
      <c r="Y9" s="4"/>
      <c r="Z9" s="2"/>
    </row>
    <row r="10" spans="2:26" ht="12.6" customHeight="1" x14ac:dyDescent="0.25">
      <c r="B10" s="41"/>
      <c r="D10" s="36"/>
      <c r="G10" s="11"/>
      <c r="H10" s="20"/>
      <c r="I10" s="125" t="s">
        <v>28</v>
      </c>
      <c r="J10" s="125"/>
      <c r="K10" s="125"/>
      <c r="L10" s="125"/>
      <c r="M10" s="125"/>
      <c r="N10" s="125"/>
      <c r="O10" s="125"/>
      <c r="P10" s="125"/>
      <c r="Q10" s="3">
        <v>0.25</v>
      </c>
      <c r="R10" s="78">
        <f>R7*Q10</f>
        <v>193239.95985309631</v>
      </c>
      <c r="T10" s="37"/>
      <c r="U10" s="37"/>
      <c r="V10" s="37"/>
      <c r="W10" s="37"/>
      <c r="X10" s="37"/>
      <c r="Y10" s="4"/>
      <c r="Z10" s="2"/>
    </row>
    <row r="11" spans="2:26" ht="12.6" customHeight="1" x14ac:dyDescent="0.25">
      <c r="B11" s="41"/>
      <c r="D11" s="36"/>
      <c r="G11" s="11"/>
      <c r="H11" s="20"/>
      <c r="I11" s="125" t="s">
        <v>23</v>
      </c>
      <c r="J11" s="125"/>
      <c r="K11" s="125"/>
      <c r="L11" s="125"/>
      <c r="M11" s="125"/>
      <c r="N11" s="125"/>
      <c r="O11" s="125"/>
      <c r="P11" s="125"/>
      <c r="Q11" s="3">
        <v>0.02</v>
      </c>
      <c r="R11" s="78">
        <f>SUM(R7:R10)*Q11</f>
        <v>20617.912763969467</v>
      </c>
      <c r="T11" s="37"/>
      <c r="U11" s="37"/>
      <c r="V11" s="37"/>
      <c r="W11" s="37"/>
      <c r="X11" s="37"/>
      <c r="Y11" s="4"/>
      <c r="Z11" s="2"/>
    </row>
    <row r="12" spans="2:26" ht="12.6" customHeight="1" x14ac:dyDescent="0.25">
      <c r="B12" s="41"/>
      <c r="G12" s="11"/>
      <c r="H12" s="20"/>
      <c r="I12" s="125" t="s">
        <v>24</v>
      </c>
      <c r="J12" s="125"/>
      <c r="K12" s="125"/>
      <c r="L12" s="125"/>
      <c r="M12" s="125"/>
      <c r="N12" s="125"/>
      <c r="O12" s="125"/>
      <c r="P12" s="125"/>
      <c r="Q12" s="3">
        <v>0.05</v>
      </c>
      <c r="R12" s="78">
        <f>R7*Q12</f>
        <v>38647.991970619267</v>
      </c>
      <c r="S12" s="59"/>
      <c r="T12" s="37"/>
      <c r="U12" s="37"/>
      <c r="V12" s="37"/>
      <c r="W12" s="37"/>
      <c r="X12" s="37"/>
      <c r="Y12" s="4"/>
      <c r="Z12" s="2"/>
    </row>
    <row r="13" spans="2:26" x14ac:dyDescent="0.25">
      <c r="B13" s="42"/>
      <c r="C13" s="21"/>
      <c r="D13" s="21"/>
      <c r="E13" s="21"/>
      <c r="F13" s="21"/>
      <c r="G13" s="21"/>
      <c r="H13" s="22"/>
      <c r="I13" s="126" t="s">
        <v>25</v>
      </c>
      <c r="J13" s="126"/>
      <c r="K13" s="126"/>
      <c r="L13" s="126"/>
      <c r="M13" s="126"/>
      <c r="N13" s="126"/>
      <c r="O13" s="126"/>
      <c r="P13" s="126"/>
      <c r="Q13" s="74"/>
      <c r="R13" s="43">
        <f>SUM(R7:R12)</f>
        <v>1090161.542933062</v>
      </c>
      <c r="T13" s="37"/>
      <c r="U13" s="37"/>
      <c r="V13" s="37"/>
      <c r="W13" s="37"/>
      <c r="X13" s="37"/>
      <c r="Z13" s="2"/>
    </row>
    <row r="14" spans="2:26" x14ac:dyDescent="0.25">
      <c r="B14" s="44"/>
      <c r="C14" s="37"/>
      <c r="D14" s="37"/>
      <c r="E14" s="37"/>
      <c r="F14" s="37"/>
      <c r="G14" s="37"/>
      <c r="H14" s="38"/>
      <c r="I14" s="126" t="s">
        <v>29</v>
      </c>
      <c r="J14" s="126"/>
      <c r="K14" s="126"/>
      <c r="L14" s="126"/>
      <c r="M14" s="126"/>
      <c r="N14" s="126"/>
      <c r="O14" s="126"/>
      <c r="P14" s="126"/>
      <c r="Q14" s="74"/>
      <c r="R14" s="45">
        <f>SUM(K22:K110)</f>
        <v>5588.984743349858</v>
      </c>
    </row>
    <row r="15" spans="2:26" ht="12.75" customHeight="1" x14ac:dyDescent="0.25">
      <c r="B15" s="115" t="s">
        <v>27</v>
      </c>
      <c r="C15" s="116"/>
      <c r="D15" s="16" t="s">
        <v>36</v>
      </c>
      <c r="E15" s="115" t="s">
        <v>26</v>
      </c>
      <c r="F15" s="116"/>
      <c r="G15" s="116"/>
      <c r="H15" s="116"/>
      <c r="I15" s="116"/>
      <c r="J15" s="115" t="s">
        <v>17</v>
      </c>
      <c r="K15" s="116"/>
      <c r="L15" s="116"/>
      <c r="M15" s="116"/>
      <c r="N15" s="116"/>
      <c r="O15" s="116"/>
      <c r="P15" s="116"/>
      <c r="Q15" s="116"/>
      <c r="R15" s="127"/>
    </row>
    <row r="16" spans="2:26" ht="12.75" customHeight="1" x14ac:dyDescent="0.25">
      <c r="B16" s="101"/>
      <c r="C16" s="102"/>
      <c r="D16" s="123"/>
      <c r="E16" s="120"/>
      <c r="F16" s="102"/>
      <c r="G16" s="102"/>
      <c r="H16" s="102"/>
      <c r="I16" s="121"/>
      <c r="J16" s="120"/>
      <c r="K16" s="102"/>
      <c r="L16" s="102"/>
      <c r="M16" s="102"/>
      <c r="N16" s="102"/>
      <c r="O16" s="102"/>
      <c r="P16" s="102"/>
      <c r="Q16" s="102"/>
      <c r="R16" s="121"/>
    </row>
    <row r="17" spans="2:22" x14ac:dyDescent="0.25">
      <c r="B17" s="103"/>
      <c r="C17" s="104"/>
      <c r="D17" s="124"/>
      <c r="E17" s="103"/>
      <c r="F17" s="104"/>
      <c r="G17" s="104"/>
      <c r="H17" s="104"/>
      <c r="I17" s="122"/>
      <c r="J17" s="103"/>
      <c r="K17" s="104"/>
      <c r="L17" s="104"/>
      <c r="M17" s="104"/>
      <c r="N17" s="104"/>
      <c r="O17" s="104"/>
      <c r="P17" s="104"/>
      <c r="Q17" s="104"/>
      <c r="R17" s="122"/>
    </row>
    <row r="18" spans="2:22" ht="12.75" customHeight="1" x14ac:dyDescent="0.25">
      <c r="B18" s="133" t="s">
        <v>5</v>
      </c>
      <c r="C18" s="133" t="s">
        <v>33</v>
      </c>
      <c r="D18" s="130" t="s">
        <v>1</v>
      </c>
      <c r="E18" s="133" t="s">
        <v>6</v>
      </c>
      <c r="F18" s="130" t="s">
        <v>14</v>
      </c>
      <c r="G18" s="130" t="s">
        <v>13</v>
      </c>
      <c r="H18" s="130"/>
      <c r="I18" s="134"/>
      <c r="J18" s="137" t="s">
        <v>12</v>
      </c>
      <c r="K18" s="137"/>
      <c r="L18" s="137"/>
      <c r="M18" s="137"/>
      <c r="N18" s="137"/>
      <c r="O18" s="134"/>
      <c r="P18" s="134"/>
      <c r="Q18" s="136" t="s">
        <v>4</v>
      </c>
      <c r="R18" s="136" t="s">
        <v>41</v>
      </c>
    </row>
    <row r="19" spans="2:22" ht="27.75" customHeight="1" x14ac:dyDescent="0.25">
      <c r="B19" s="130"/>
      <c r="C19" s="133"/>
      <c r="D19" s="130"/>
      <c r="E19" s="130"/>
      <c r="F19" s="130"/>
      <c r="G19" s="28" t="s">
        <v>11</v>
      </c>
      <c r="H19" s="62" t="s">
        <v>11</v>
      </c>
      <c r="I19" s="62" t="s">
        <v>10</v>
      </c>
      <c r="J19" s="61" t="s">
        <v>15</v>
      </c>
      <c r="K19" s="61" t="s">
        <v>7</v>
      </c>
      <c r="L19" s="29" t="s">
        <v>34</v>
      </c>
      <c r="M19" s="29" t="s">
        <v>35</v>
      </c>
      <c r="N19" s="61" t="s">
        <v>35</v>
      </c>
      <c r="O19" s="61" t="s">
        <v>11</v>
      </c>
      <c r="P19" s="62" t="s">
        <v>10</v>
      </c>
      <c r="Q19" s="137"/>
      <c r="R19" s="137"/>
      <c r="S19" s="12"/>
    </row>
    <row r="20" spans="2:22" s="12" customFormat="1" x14ac:dyDescent="0.25">
      <c r="B20" s="60" t="str">
        <f>IF(F20&lt;&gt;"",1+MAX($B$19:B19),"")</f>
        <v/>
      </c>
      <c r="C20" s="30"/>
      <c r="D20" s="31"/>
      <c r="E20" s="24"/>
      <c r="F20" s="32"/>
      <c r="G20" s="33"/>
      <c r="H20" s="33"/>
      <c r="I20" s="34"/>
      <c r="J20" s="34"/>
      <c r="K20" s="24"/>
      <c r="L20" s="24"/>
      <c r="M20" s="34"/>
      <c r="N20" s="34"/>
      <c r="O20" s="33"/>
      <c r="P20" s="34"/>
      <c r="Q20" s="35"/>
      <c r="R20" s="46"/>
      <c r="T20" s="11"/>
      <c r="U20" s="11"/>
      <c r="V20" s="11"/>
    </row>
    <row r="21" spans="2:22" s="12" customFormat="1" x14ac:dyDescent="0.25">
      <c r="B21" s="13" t="str">
        <f>IF(F21&lt;&gt;"",1+MAX($B$2:B20),"")</f>
        <v/>
      </c>
      <c r="C21" s="13" t="s">
        <v>30</v>
      </c>
      <c r="D21" s="6" t="s">
        <v>8</v>
      </c>
      <c r="E21" s="128" t="s">
        <v>37</v>
      </c>
      <c r="F21" s="128"/>
      <c r="G21" s="128"/>
      <c r="H21" s="51">
        <f>SUM(I22:I24)</f>
        <v>0</v>
      </c>
      <c r="I21" s="7">
        <f t="shared" ref="I21:I23" si="0">F21*H21</f>
        <v>0</v>
      </c>
      <c r="J21" s="7"/>
      <c r="K21" s="129" t="s">
        <v>38</v>
      </c>
      <c r="L21" s="129"/>
      <c r="M21" s="129"/>
      <c r="N21" s="129"/>
      <c r="O21" s="51">
        <f>SUM(P22:P24)</f>
        <v>60000</v>
      </c>
      <c r="P21" s="7">
        <f t="shared" ref="P21:P22" si="1">F21*O21</f>
        <v>0</v>
      </c>
      <c r="Q21" s="47">
        <f>SUM(Q22:Q24)</f>
        <v>60000</v>
      </c>
      <c r="R21" s="47">
        <f>(Q21)+(H21*$Q$8)+(O21*$Q$9)+(Q21*$Q$10)+($Q$11*((Q21)+(H21*$Q$8)+(O21*$Q$9)+(Q21*$Q$10)))+(Q21*$Q$12)</f>
        <v>85620</v>
      </c>
      <c r="T21" s="11"/>
      <c r="U21" s="11"/>
      <c r="V21" s="11"/>
    </row>
    <row r="22" spans="2:22" x14ac:dyDescent="0.25">
      <c r="B22" s="48" t="str">
        <f>IF(F22&lt;&gt;"",1+MAX($B20:B$24),"")</f>
        <v/>
      </c>
      <c r="C22" s="52"/>
      <c r="D22" s="8"/>
      <c r="E22" s="23"/>
      <c r="F22" s="27"/>
      <c r="G22" s="17"/>
      <c r="H22" s="17">
        <f>G22*$T$2</f>
        <v>0</v>
      </c>
      <c r="I22" s="17">
        <f t="shared" si="0"/>
        <v>0</v>
      </c>
      <c r="J22" s="15"/>
      <c r="K22" s="10">
        <f t="shared" ref="K22:K23" si="2">F22*J22</f>
        <v>0</v>
      </c>
      <c r="L22" s="10"/>
      <c r="M22" s="17"/>
      <c r="N22" s="17">
        <f>M22*$U$2</f>
        <v>0</v>
      </c>
      <c r="O22" s="17">
        <f t="shared" ref="O22" si="3">J22*N22</f>
        <v>0</v>
      </c>
      <c r="P22" s="17">
        <f t="shared" si="1"/>
        <v>0</v>
      </c>
      <c r="Q22" s="17">
        <f t="shared" ref="Q22" si="4">I22+P22</f>
        <v>0</v>
      </c>
      <c r="R22" s="49"/>
      <c r="S22" s="12"/>
    </row>
    <row r="23" spans="2:22" s="12" customFormat="1" x14ac:dyDescent="0.25">
      <c r="B23" s="48">
        <f>IF(F23&lt;&gt;"",1+MAX($B$22:B22),"")</f>
        <v>1</v>
      </c>
      <c r="C23" s="52"/>
      <c r="D23" s="8" t="s">
        <v>59</v>
      </c>
      <c r="E23" s="23" t="s">
        <v>60</v>
      </c>
      <c r="F23" s="39">
        <v>1</v>
      </c>
      <c r="G23" s="75"/>
      <c r="H23" s="75">
        <f t="shared" ref="H23" si="5">G23*$T$2</f>
        <v>0</v>
      </c>
      <c r="I23" s="75">
        <f t="shared" si="0"/>
        <v>0</v>
      </c>
      <c r="J23" s="76"/>
      <c r="K23" s="77">
        <f t="shared" si="2"/>
        <v>0</v>
      </c>
      <c r="L23" s="77"/>
      <c r="M23" s="75"/>
      <c r="N23" s="75">
        <f t="shared" ref="N23" si="6">M23*$U$2</f>
        <v>0</v>
      </c>
      <c r="O23" s="17">
        <v>60000</v>
      </c>
      <c r="P23" s="17">
        <f t="shared" ref="P23:P24" si="7">F23*O23</f>
        <v>60000</v>
      </c>
      <c r="Q23" s="17">
        <f t="shared" ref="Q23:Q24" si="8">I23+P23</f>
        <v>60000</v>
      </c>
      <c r="R23" s="49"/>
      <c r="T23" s="11"/>
      <c r="U23" s="11"/>
      <c r="V23" s="11"/>
    </row>
    <row r="24" spans="2:22" x14ac:dyDescent="0.25">
      <c r="B24" s="48" t="str">
        <f>IF(F24&lt;&gt;"",1+MAX($B$22:B23),"")</f>
        <v/>
      </c>
      <c r="C24" s="52"/>
      <c r="D24" s="8"/>
      <c r="E24" s="23"/>
      <c r="F24" s="39"/>
      <c r="G24" s="17"/>
      <c r="H24" s="17">
        <f t="shared" ref="H24" si="9">G24*$T$2</f>
        <v>0</v>
      </c>
      <c r="I24" s="17">
        <f t="shared" ref="I24" si="10">F24*H24</f>
        <v>0</v>
      </c>
      <c r="J24" s="15"/>
      <c r="K24" s="10">
        <f t="shared" ref="K24" si="11">F24*J24</f>
        <v>0</v>
      </c>
      <c r="L24" s="10"/>
      <c r="M24" s="17"/>
      <c r="N24" s="17">
        <f t="shared" ref="N24" si="12">M24*$U$2</f>
        <v>0</v>
      </c>
      <c r="O24" s="17">
        <f t="shared" ref="O24" si="13">J24*N24</f>
        <v>0</v>
      </c>
      <c r="P24" s="17">
        <f t="shared" si="7"/>
        <v>0</v>
      </c>
      <c r="Q24" s="17">
        <f t="shared" si="8"/>
        <v>0</v>
      </c>
      <c r="R24" s="49"/>
      <c r="S24" s="12"/>
    </row>
    <row r="25" spans="2:22" s="12" customFormat="1" ht="12.75" customHeight="1" x14ac:dyDescent="0.25">
      <c r="B25" s="13" t="str">
        <f>IF(F25&lt;&gt;"",1+MAX($B$22:B24),"")</f>
        <v/>
      </c>
      <c r="C25" s="13" t="s">
        <v>31</v>
      </c>
      <c r="D25" s="6" t="s">
        <v>9</v>
      </c>
      <c r="E25" s="128" t="s">
        <v>37</v>
      </c>
      <c r="F25" s="128"/>
      <c r="G25" s="128"/>
      <c r="H25" s="51">
        <f>SUM(I26:I110)</f>
        <v>336003.86688658007</v>
      </c>
      <c r="I25" s="7">
        <f t="shared" ref="I25:I88" si="14">F25*H25</f>
        <v>0</v>
      </c>
      <c r="J25" s="7"/>
      <c r="K25" s="129" t="s">
        <v>38</v>
      </c>
      <c r="L25" s="129"/>
      <c r="M25" s="129"/>
      <c r="N25" s="129"/>
      <c r="O25" s="51">
        <f>SUM(P26:P110)</f>
        <v>376955.97252580512</v>
      </c>
      <c r="P25" s="7">
        <f t="shared" ref="P25:P88" si="15">F25*O25</f>
        <v>0</v>
      </c>
      <c r="Q25" s="47">
        <f>SUM(Q26:Q110)</f>
        <v>712959.83941238525</v>
      </c>
      <c r="R25" s="47">
        <f>(Q25)+(H25*$Q$8)+(O25*$Q$9)+(Q25*$Q$10)+($Q$11*((Q25)+(H25*$Q$8)+(O25*$Q$9)+(Q25*$Q$10)))+(Q25*$Q$12)</f>
        <v>1004541.5429330622</v>
      </c>
      <c r="T25" s="11"/>
      <c r="U25" s="11"/>
      <c r="V25" s="11"/>
    </row>
    <row r="26" spans="2:22" x14ac:dyDescent="0.25">
      <c r="B26" s="48" t="str">
        <f>IF(F26&lt;&gt;"",1+MAX($B$22:B25),"")</f>
        <v/>
      </c>
      <c r="C26" s="52"/>
      <c r="D26" s="8"/>
      <c r="E26" s="23"/>
      <c r="F26" s="39"/>
      <c r="G26" s="17"/>
      <c r="H26" s="17">
        <f t="shared" ref="H26:H89" si="16">G26*$T$2</f>
        <v>0</v>
      </c>
      <c r="I26" s="17">
        <f t="shared" si="14"/>
        <v>0</v>
      </c>
      <c r="J26" s="15"/>
      <c r="K26" s="10">
        <f t="shared" ref="K26:K89" si="17">F26*J26</f>
        <v>0</v>
      </c>
      <c r="L26" s="10"/>
      <c r="M26" s="17"/>
      <c r="N26" s="17">
        <f t="shared" ref="N26:N89" si="18">M26*$U$2</f>
        <v>0</v>
      </c>
      <c r="O26" s="17">
        <f t="shared" ref="O26:O89" si="19">J26*N26</f>
        <v>0</v>
      </c>
      <c r="P26" s="17">
        <f t="shared" si="15"/>
        <v>0</v>
      </c>
      <c r="Q26" s="17">
        <f t="shared" ref="Q26:Q89" si="20">I26+P26</f>
        <v>0</v>
      </c>
      <c r="R26" s="49"/>
      <c r="S26" s="12"/>
    </row>
    <row r="27" spans="2:22" x14ac:dyDescent="0.25">
      <c r="B27" s="63" t="str">
        <f>IF(F27&lt;&gt;"",1+MAX($B$22:B26),"")</f>
        <v/>
      </c>
      <c r="C27" s="64"/>
      <c r="D27" s="65" t="s">
        <v>64</v>
      </c>
      <c r="E27" s="23"/>
      <c r="F27" s="39"/>
      <c r="G27" s="17"/>
      <c r="H27" s="17">
        <f t="shared" si="16"/>
        <v>0</v>
      </c>
      <c r="I27" s="17">
        <f t="shared" si="14"/>
        <v>0</v>
      </c>
      <c r="J27" s="15"/>
      <c r="K27" s="10">
        <f t="shared" si="17"/>
        <v>0</v>
      </c>
      <c r="L27" s="10"/>
      <c r="M27" s="17"/>
      <c r="N27" s="17">
        <f t="shared" si="18"/>
        <v>0</v>
      </c>
      <c r="O27" s="17">
        <f t="shared" si="19"/>
        <v>0</v>
      </c>
      <c r="P27" s="17">
        <f t="shared" si="15"/>
        <v>0</v>
      </c>
      <c r="Q27" s="17">
        <f t="shared" si="20"/>
        <v>0</v>
      </c>
      <c r="R27" s="49"/>
    </row>
    <row r="28" spans="2:22" ht="41.4" x14ac:dyDescent="0.25">
      <c r="B28" s="48">
        <f>IF(F28&lt;&gt;"",1+MAX($B$22:B27),"")</f>
        <v>2</v>
      </c>
      <c r="C28" s="131" t="s">
        <v>117</v>
      </c>
      <c r="D28" s="8" t="s">
        <v>84</v>
      </c>
      <c r="E28" s="23" t="s">
        <v>48</v>
      </c>
      <c r="F28" s="39">
        <v>562.57000000000005</v>
      </c>
      <c r="G28" s="17">
        <v>2.0901299999999998</v>
      </c>
      <c r="H28" s="17">
        <f t="shared" si="16"/>
        <v>1.8811169999999999</v>
      </c>
      <c r="I28" s="17">
        <f t="shared" si="14"/>
        <v>1058.25999069</v>
      </c>
      <c r="J28" s="15">
        <v>6.7743999999999999E-2</v>
      </c>
      <c r="K28" s="10">
        <f t="shared" si="17"/>
        <v>38.110742080000001</v>
      </c>
      <c r="L28" s="79" t="s">
        <v>221</v>
      </c>
      <c r="M28" s="80">
        <v>47.35</v>
      </c>
      <c r="N28" s="17">
        <f t="shared" si="18"/>
        <v>63.449000000000005</v>
      </c>
      <c r="O28" s="17">
        <f t="shared" si="19"/>
        <v>4.2982890560000007</v>
      </c>
      <c r="P28" s="17">
        <f t="shared" si="15"/>
        <v>2418.0884742339208</v>
      </c>
      <c r="Q28" s="17">
        <f t="shared" si="20"/>
        <v>3476.3484649239208</v>
      </c>
      <c r="R28" s="49"/>
      <c r="S28" s="81"/>
      <c r="T28" s="81"/>
    </row>
    <row r="29" spans="2:22" x14ac:dyDescent="0.25">
      <c r="B29" s="48">
        <f>IF(F29&lt;&gt;"",1+MAX($B$22:B28),"")</f>
        <v>3</v>
      </c>
      <c r="C29" s="131"/>
      <c r="D29" s="8" t="s">
        <v>86</v>
      </c>
      <c r="E29" s="23" t="s">
        <v>48</v>
      </c>
      <c r="F29" s="39">
        <v>38.46</v>
      </c>
      <c r="G29" s="17">
        <v>5.8322200000000004</v>
      </c>
      <c r="H29" s="17">
        <f t="shared" si="16"/>
        <v>5.2489980000000003</v>
      </c>
      <c r="I29" s="17">
        <f t="shared" si="14"/>
        <v>201.87646308000001</v>
      </c>
      <c r="J29" s="15">
        <v>7.6111000000000012E-2</v>
      </c>
      <c r="K29" s="10">
        <f t="shared" si="17"/>
        <v>2.9272290600000006</v>
      </c>
      <c r="L29" s="79" t="s">
        <v>221</v>
      </c>
      <c r="M29" s="80">
        <v>47.35</v>
      </c>
      <c r="N29" s="17">
        <f t="shared" si="18"/>
        <v>63.449000000000005</v>
      </c>
      <c r="O29" s="17">
        <f t="shared" si="19"/>
        <v>4.8291668390000009</v>
      </c>
      <c r="P29" s="17">
        <f t="shared" si="15"/>
        <v>185.72975662794005</v>
      </c>
      <c r="Q29" s="17">
        <f t="shared" si="20"/>
        <v>387.60621970794006</v>
      </c>
      <c r="R29" s="49"/>
      <c r="S29" s="2"/>
      <c r="T29" s="2"/>
    </row>
    <row r="30" spans="2:22" ht="27.6" x14ac:dyDescent="0.25">
      <c r="B30" s="48">
        <f>IF(F30&lt;&gt;"",1+MAX($B$22:B29),"")</f>
        <v>4</v>
      </c>
      <c r="C30" s="131"/>
      <c r="D30" s="8" t="s">
        <v>85</v>
      </c>
      <c r="E30" s="23" t="s">
        <v>48</v>
      </c>
      <c r="F30" s="39">
        <v>11748.75</v>
      </c>
      <c r="G30" s="17">
        <v>12.84498</v>
      </c>
      <c r="H30" s="17">
        <f t="shared" ref="H30" si="21">G30*$T$2</f>
        <v>11.560482</v>
      </c>
      <c r="I30" s="17">
        <f t="shared" ref="I30" si="22">F30*H30</f>
        <v>135821.21289749999</v>
      </c>
      <c r="J30" s="15">
        <v>0.16964500000000002</v>
      </c>
      <c r="K30" s="10">
        <f t="shared" ref="K30" si="23">F30*J30</f>
        <v>1993.1166937500002</v>
      </c>
      <c r="L30" s="79" t="s">
        <v>221</v>
      </c>
      <c r="M30" s="80">
        <v>47.35</v>
      </c>
      <c r="N30" s="17">
        <f t="shared" ref="N30" si="24">M30*$U$2</f>
        <v>63.449000000000005</v>
      </c>
      <c r="O30" s="17">
        <f t="shared" si="19"/>
        <v>10.763805605000002</v>
      </c>
      <c r="P30" s="17">
        <f t="shared" si="15"/>
        <v>126461.26110174377</v>
      </c>
      <c r="Q30" s="17">
        <f t="shared" si="20"/>
        <v>262282.47399924375</v>
      </c>
      <c r="R30" s="49"/>
      <c r="S30" s="2"/>
      <c r="T30" s="2"/>
    </row>
    <row r="31" spans="2:22" ht="27.6" x14ac:dyDescent="0.25">
      <c r="B31" s="48">
        <f>IF(F31&lt;&gt;"",1+MAX($B$22:B30),"")</f>
        <v>5</v>
      </c>
      <c r="C31" s="131"/>
      <c r="D31" s="8" t="s">
        <v>87</v>
      </c>
      <c r="E31" s="23" t="s">
        <v>48</v>
      </c>
      <c r="F31" s="39">
        <v>89.9</v>
      </c>
      <c r="G31" s="17">
        <v>5.8322200000000004</v>
      </c>
      <c r="H31" s="17">
        <f t="shared" si="16"/>
        <v>5.2489980000000003</v>
      </c>
      <c r="I31" s="17">
        <f t="shared" si="14"/>
        <v>471.88492020000007</v>
      </c>
      <c r="J31" s="15">
        <v>7.6111000000000012E-2</v>
      </c>
      <c r="K31" s="10">
        <f t="shared" si="17"/>
        <v>6.8423789000000017</v>
      </c>
      <c r="L31" s="79" t="s">
        <v>221</v>
      </c>
      <c r="M31" s="80">
        <v>47.35</v>
      </c>
      <c r="N31" s="17">
        <f t="shared" si="18"/>
        <v>63.449000000000005</v>
      </c>
      <c r="O31" s="17">
        <f t="shared" si="19"/>
        <v>4.8291668390000009</v>
      </c>
      <c r="P31" s="17">
        <f t="shared" si="15"/>
        <v>434.1420988261001</v>
      </c>
      <c r="Q31" s="17">
        <f t="shared" si="20"/>
        <v>906.02701902610011</v>
      </c>
      <c r="R31" s="49"/>
    </row>
    <row r="32" spans="2:22" ht="27.6" x14ac:dyDescent="0.25">
      <c r="B32" s="48">
        <f>IF(F32&lt;&gt;"",1+MAX($B$22:B31),"")</f>
        <v>6</v>
      </c>
      <c r="C32" s="131"/>
      <c r="D32" s="8" t="s">
        <v>219</v>
      </c>
      <c r="E32" s="23" t="s">
        <v>48</v>
      </c>
      <c r="F32" s="39">
        <f>2*2</f>
        <v>4</v>
      </c>
      <c r="G32" s="17">
        <v>4.0437899999999996</v>
      </c>
      <c r="H32" s="17">
        <f t="shared" si="16"/>
        <v>3.6394109999999995</v>
      </c>
      <c r="I32" s="17">
        <f t="shared" si="14"/>
        <v>14.557643999999998</v>
      </c>
      <c r="J32" s="15">
        <v>7.427700000000001E-2</v>
      </c>
      <c r="K32" s="10">
        <f t="shared" si="17"/>
        <v>0.29710800000000004</v>
      </c>
      <c r="L32" s="79" t="s">
        <v>221</v>
      </c>
      <c r="M32" s="80">
        <v>47.35</v>
      </c>
      <c r="N32" s="17">
        <f t="shared" si="18"/>
        <v>63.449000000000005</v>
      </c>
      <c r="O32" s="17">
        <f t="shared" si="19"/>
        <v>4.7128013730000013</v>
      </c>
      <c r="P32" s="17">
        <f t="shared" si="15"/>
        <v>18.851205492000005</v>
      </c>
      <c r="Q32" s="17">
        <f t="shared" si="20"/>
        <v>33.408849492000002</v>
      </c>
      <c r="R32" s="49"/>
    </row>
    <row r="33" spans="2:20" x14ac:dyDescent="0.25">
      <c r="B33" s="48" t="str">
        <f>IF(F33&lt;&gt;"",1+MAX($B$22:B32),"")</f>
        <v/>
      </c>
      <c r="C33" s="52"/>
      <c r="D33" s="8"/>
      <c r="E33" s="23"/>
      <c r="F33" s="39"/>
      <c r="G33" s="17"/>
      <c r="H33" s="17">
        <f t="shared" si="16"/>
        <v>0</v>
      </c>
      <c r="I33" s="17">
        <f t="shared" si="14"/>
        <v>0</v>
      </c>
      <c r="J33" s="15"/>
      <c r="K33" s="10">
        <f t="shared" si="17"/>
        <v>0</v>
      </c>
      <c r="L33" s="10"/>
      <c r="M33" s="17"/>
      <c r="N33" s="17">
        <f t="shared" si="18"/>
        <v>0</v>
      </c>
      <c r="O33" s="17">
        <f t="shared" si="19"/>
        <v>0</v>
      </c>
      <c r="P33" s="17">
        <f t="shared" si="15"/>
        <v>0</v>
      </c>
      <c r="Q33" s="17">
        <f t="shared" si="20"/>
        <v>0</v>
      </c>
      <c r="R33" s="49"/>
    </row>
    <row r="34" spans="2:20" x14ac:dyDescent="0.25">
      <c r="B34" s="48" t="str">
        <f>IF(F34&lt;&gt;"",1+MAX($B$22:B33),"")</f>
        <v/>
      </c>
      <c r="C34" s="52"/>
      <c r="D34" s="50" t="s">
        <v>66</v>
      </c>
      <c r="E34" s="23"/>
      <c r="F34" s="39"/>
      <c r="G34" s="17"/>
      <c r="H34" s="17">
        <f t="shared" si="16"/>
        <v>0</v>
      </c>
      <c r="I34" s="17">
        <f t="shared" si="14"/>
        <v>0</v>
      </c>
      <c r="J34" s="15"/>
      <c r="K34" s="10">
        <f t="shared" si="17"/>
        <v>0</v>
      </c>
      <c r="L34" s="10"/>
      <c r="M34" s="17"/>
      <c r="N34" s="17">
        <f t="shared" si="18"/>
        <v>0</v>
      </c>
      <c r="O34" s="17">
        <f t="shared" si="19"/>
        <v>0</v>
      </c>
      <c r="P34" s="17">
        <f t="shared" si="15"/>
        <v>0</v>
      </c>
      <c r="Q34" s="17">
        <f t="shared" si="20"/>
        <v>0</v>
      </c>
      <c r="R34" s="49"/>
    </row>
    <row r="35" spans="2:20" x14ac:dyDescent="0.25">
      <c r="B35" s="48">
        <f>IF(F35&lt;&gt;"",1+MAX($B$22:B34),"")</f>
        <v>7</v>
      </c>
      <c r="C35" s="52" t="s">
        <v>120</v>
      </c>
      <c r="D35" s="8" t="s">
        <v>89</v>
      </c>
      <c r="E35" s="23" t="s">
        <v>50</v>
      </c>
      <c r="F35" s="39">
        <v>57</v>
      </c>
      <c r="G35" s="17">
        <v>0.94</v>
      </c>
      <c r="H35" s="17">
        <f t="shared" si="16"/>
        <v>0.84599999999999997</v>
      </c>
      <c r="I35" s="17">
        <f t="shared" si="14"/>
        <v>48.222000000000001</v>
      </c>
      <c r="J35" s="15">
        <v>0.04</v>
      </c>
      <c r="K35" s="10">
        <f t="shared" si="17"/>
        <v>2.2800000000000002</v>
      </c>
      <c r="L35" s="79" t="s">
        <v>222</v>
      </c>
      <c r="M35" s="80">
        <v>53.15</v>
      </c>
      <c r="N35" s="17">
        <f t="shared" si="18"/>
        <v>71.221000000000004</v>
      </c>
      <c r="O35" s="17">
        <f t="shared" si="19"/>
        <v>2.84884</v>
      </c>
      <c r="P35" s="17">
        <f t="shared" si="15"/>
        <v>162.38388</v>
      </c>
      <c r="Q35" s="17">
        <f t="shared" si="20"/>
        <v>210.60588000000001</v>
      </c>
      <c r="R35" s="49"/>
    </row>
    <row r="36" spans="2:20" x14ac:dyDescent="0.25">
      <c r="B36" s="48" t="str">
        <f>IF(F36&lt;&gt;"",1+MAX($B$22:B35),"")</f>
        <v/>
      </c>
      <c r="C36" s="52"/>
      <c r="D36" s="8"/>
      <c r="E36" s="23"/>
      <c r="F36" s="39"/>
      <c r="G36" s="17"/>
      <c r="H36" s="17">
        <f t="shared" si="16"/>
        <v>0</v>
      </c>
      <c r="I36" s="17">
        <f t="shared" si="14"/>
        <v>0</v>
      </c>
      <c r="J36" s="15"/>
      <c r="K36" s="10">
        <f t="shared" si="17"/>
        <v>0</v>
      </c>
      <c r="L36" s="10"/>
      <c r="M36" s="17"/>
      <c r="N36" s="17">
        <f t="shared" si="18"/>
        <v>0</v>
      </c>
      <c r="O36" s="17">
        <f t="shared" si="19"/>
        <v>0</v>
      </c>
      <c r="P36" s="17">
        <f t="shared" si="15"/>
        <v>0</v>
      </c>
      <c r="Q36" s="17">
        <f t="shared" si="20"/>
        <v>0</v>
      </c>
      <c r="R36" s="49"/>
    </row>
    <row r="37" spans="2:20" x14ac:dyDescent="0.25">
      <c r="B37" s="63" t="str">
        <f>IF(F37&lt;&gt;"",1+MAX($B$22:B36),"")</f>
        <v/>
      </c>
      <c r="C37" s="64"/>
      <c r="D37" s="65" t="s">
        <v>67</v>
      </c>
      <c r="E37" s="23"/>
      <c r="F37" s="39"/>
      <c r="G37" s="17"/>
      <c r="H37" s="17">
        <f t="shared" si="16"/>
        <v>0</v>
      </c>
      <c r="I37" s="17">
        <f t="shared" si="14"/>
        <v>0</v>
      </c>
      <c r="J37" s="15"/>
      <c r="K37" s="10">
        <f t="shared" si="17"/>
        <v>0</v>
      </c>
      <c r="L37" s="10"/>
      <c r="M37" s="17"/>
      <c r="N37" s="17">
        <f t="shared" si="18"/>
        <v>0</v>
      </c>
      <c r="O37" s="17">
        <f t="shared" si="19"/>
        <v>0</v>
      </c>
      <c r="P37" s="17">
        <f t="shared" si="15"/>
        <v>0</v>
      </c>
      <c r="Q37" s="17">
        <f t="shared" si="20"/>
        <v>0</v>
      </c>
      <c r="R37" s="49"/>
    </row>
    <row r="38" spans="2:20" x14ac:dyDescent="0.25">
      <c r="B38" s="48">
        <f>IF(F38&lt;&gt;"",1+MAX($B$22:B37),"")</f>
        <v>8</v>
      </c>
      <c r="C38" s="131" t="s">
        <v>119</v>
      </c>
      <c r="D38" s="8" t="s">
        <v>82</v>
      </c>
      <c r="E38" s="23" t="s">
        <v>48</v>
      </c>
      <c r="F38" s="39">
        <v>38949.269999999997</v>
      </c>
      <c r="G38" s="17">
        <v>1.1200000000000001</v>
      </c>
      <c r="H38" s="17">
        <f t="shared" ref="H38" si="25">G38*$T$2</f>
        <v>1.0080000000000002</v>
      </c>
      <c r="I38" s="17">
        <f t="shared" ref="I38" si="26">F38*H38</f>
        <v>39260.864160000005</v>
      </c>
      <c r="J38" s="15">
        <v>0.02</v>
      </c>
      <c r="K38" s="10">
        <f t="shared" ref="K38" si="27">F38*J38</f>
        <v>778.98539999999991</v>
      </c>
      <c r="L38" s="79" t="s">
        <v>223</v>
      </c>
      <c r="M38" s="80">
        <v>54.87</v>
      </c>
      <c r="N38" s="17">
        <f t="shared" si="18"/>
        <v>73.525800000000004</v>
      </c>
      <c r="O38" s="17">
        <f t="shared" si="19"/>
        <v>1.4705160000000002</v>
      </c>
      <c r="P38" s="17">
        <f t="shared" si="15"/>
        <v>57275.524723319999</v>
      </c>
      <c r="Q38" s="17">
        <f t="shared" si="20"/>
        <v>96536.388883320004</v>
      </c>
      <c r="R38" s="49"/>
    </row>
    <row r="39" spans="2:20" x14ac:dyDescent="0.25">
      <c r="B39" s="48">
        <f>IF(F39&lt;&gt;"",1+MAX($B$22:B38),"")</f>
        <v>9</v>
      </c>
      <c r="C39" s="131"/>
      <c r="D39" s="8" t="s">
        <v>83</v>
      </c>
      <c r="E39" s="23" t="s">
        <v>48</v>
      </c>
      <c r="F39" s="39">
        <v>5558.33</v>
      </c>
      <c r="G39" s="17">
        <v>1.45</v>
      </c>
      <c r="H39" s="17">
        <f t="shared" si="16"/>
        <v>1.3049999999999999</v>
      </c>
      <c r="I39" s="17">
        <f t="shared" si="14"/>
        <v>7253.6206499999998</v>
      </c>
      <c r="J39" s="15">
        <v>0.02</v>
      </c>
      <c r="K39" s="10">
        <f t="shared" si="17"/>
        <v>111.1666</v>
      </c>
      <c r="L39" s="79" t="s">
        <v>223</v>
      </c>
      <c r="M39" s="80">
        <v>54.87</v>
      </c>
      <c r="N39" s="17">
        <f t="shared" si="18"/>
        <v>73.525800000000004</v>
      </c>
      <c r="O39" s="17">
        <f t="shared" si="19"/>
        <v>1.4705160000000002</v>
      </c>
      <c r="P39" s="17">
        <f t="shared" si="15"/>
        <v>8173.6131982800007</v>
      </c>
      <c r="Q39" s="17">
        <f t="shared" si="20"/>
        <v>15427.233848280001</v>
      </c>
      <c r="R39" s="49"/>
    </row>
    <row r="40" spans="2:20" ht="27.6" x14ac:dyDescent="0.25">
      <c r="B40" s="48">
        <f>IF(F40&lt;&gt;"",1+MAX($B$22:B39),"")</f>
        <v>10</v>
      </c>
      <c r="C40" s="52"/>
      <c r="D40" s="8" t="s">
        <v>214</v>
      </c>
      <c r="E40" s="23" t="s">
        <v>48</v>
      </c>
      <c r="F40" s="39">
        <f>8*(6.33*1)</f>
        <v>50.64</v>
      </c>
      <c r="G40" s="17">
        <v>4.08</v>
      </c>
      <c r="H40" s="17">
        <f t="shared" si="16"/>
        <v>3.6720000000000002</v>
      </c>
      <c r="I40" s="17">
        <f t="shared" si="14"/>
        <v>185.95008000000001</v>
      </c>
      <c r="J40" s="15">
        <v>0.186</v>
      </c>
      <c r="K40" s="10">
        <f t="shared" si="17"/>
        <v>9.4190400000000007</v>
      </c>
      <c r="L40" s="79" t="s">
        <v>223</v>
      </c>
      <c r="M40" s="80">
        <v>54.87</v>
      </c>
      <c r="N40" s="17">
        <f t="shared" si="18"/>
        <v>73.525800000000004</v>
      </c>
      <c r="O40" s="17">
        <f t="shared" si="19"/>
        <v>13.675798800000001</v>
      </c>
      <c r="P40" s="17">
        <f t="shared" si="15"/>
        <v>692.54245123200008</v>
      </c>
      <c r="Q40" s="17">
        <f t="shared" si="20"/>
        <v>878.49253123200015</v>
      </c>
      <c r="R40" s="49"/>
    </row>
    <row r="41" spans="2:20" x14ac:dyDescent="0.25">
      <c r="B41" s="48" t="str">
        <f>IF(F41&lt;&gt;"",1+MAX($B$22:B40),"")</f>
        <v/>
      </c>
      <c r="C41" s="52"/>
      <c r="D41" s="8"/>
      <c r="E41" s="23"/>
      <c r="F41" s="39"/>
      <c r="G41" s="17"/>
      <c r="H41" s="17">
        <f t="shared" si="16"/>
        <v>0</v>
      </c>
      <c r="I41" s="17">
        <f t="shared" si="14"/>
        <v>0</v>
      </c>
      <c r="J41" s="15"/>
      <c r="K41" s="10">
        <f t="shared" si="17"/>
        <v>0</v>
      </c>
      <c r="L41" s="10"/>
      <c r="M41" s="17"/>
      <c r="N41" s="17">
        <f t="shared" si="18"/>
        <v>0</v>
      </c>
      <c r="O41" s="17">
        <f t="shared" si="19"/>
        <v>0</v>
      </c>
      <c r="P41" s="17">
        <f t="shared" si="15"/>
        <v>0</v>
      </c>
      <c r="Q41" s="17">
        <f t="shared" si="20"/>
        <v>0</v>
      </c>
      <c r="R41" s="49"/>
    </row>
    <row r="42" spans="2:20" x14ac:dyDescent="0.25">
      <c r="B42" s="63" t="str">
        <f>IF(F42&lt;&gt;"",1+MAX($B$22:B41),"")</f>
        <v/>
      </c>
      <c r="C42" s="64"/>
      <c r="D42" s="65" t="s">
        <v>215</v>
      </c>
      <c r="E42" s="23"/>
      <c r="F42" s="39"/>
      <c r="G42" s="17"/>
      <c r="H42" s="17">
        <f t="shared" si="16"/>
        <v>0</v>
      </c>
      <c r="I42" s="17">
        <f t="shared" si="14"/>
        <v>0</v>
      </c>
      <c r="J42" s="15"/>
      <c r="K42" s="10">
        <f t="shared" si="17"/>
        <v>0</v>
      </c>
      <c r="L42" s="10"/>
      <c r="M42" s="17"/>
      <c r="N42" s="17">
        <f t="shared" si="18"/>
        <v>0</v>
      </c>
      <c r="O42" s="17">
        <f t="shared" si="19"/>
        <v>0</v>
      </c>
      <c r="P42" s="17">
        <f t="shared" si="15"/>
        <v>0</v>
      </c>
      <c r="Q42" s="17">
        <f t="shared" si="20"/>
        <v>0</v>
      </c>
      <c r="R42" s="49"/>
    </row>
    <row r="43" spans="2:20" x14ac:dyDescent="0.25">
      <c r="B43" s="48">
        <f>IF(F43&lt;&gt;"",1+MAX($B$22:B42),"")</f>
        <v>11</v>
      </c>
      <c r="C43" s="52" t="s">
        <v>118</v>
      </c>
      <c r="D43" s="8" t="s">
        <v>216</v>
      </c>
      <c r="E43" s="23" t="s">
        <v>49</v>
      </c>
      <c r="F43" s="71">
        <f>(7*3.7)/27</f>
        <v>0.95925925925925937</v>
      </c>
      <c r="G43" s="17">
        <v>273.11</v>
      </c>
      <c r="H43" s="17">
        <f t="shared" si="16"/>
        <v>245.79900000000001</v>
      </c>
      <c r="I43" s="17">
        <f t="shared" si="14"/>
        <v>235.78496666666669</v>
      </c>
      <c r="J43" s="15">
        <v>5.2544951590594771</v>
      </c>
      <c r="K43" s="10">
        <f t="shared" si="17"/>
        <v>5.0404231340607586</v>
      </c>
      <c r="L43" s="79" t="s">
        <v>224</v>
      </c>
      <c r="M43" s="80">
        <v>50.61</v>
      </c>
      <c r="N43" s="17">
        <f t="shared" si="18"/>
        <v>67.817400000000006</v>
      </c>
      <c r="O43" s="17">
        <f t="shared" si="19"/>
        <v>356.34620000000024</v>
      </c>
      <c r="P43" s="17">
        <f t="shared" si="15"/>
        <v>341.82839185185213</v>
      </c>
      <c r="Q43" s="17">
        <f t="shared" si="20"/>
        <v>577.61335851851879</v>
      </c>
      <c r="R43" s="49"/>
      <c r="S43" s="81"/>
      <c r="T43" s="81"/>
    </row>
    <row r="44" spans="2:20" x14ac:dyDescent="0.25">
      <c r="B44" s="48" t="str">
        <f>IF(F44&lt;&gt;"",1+MAX($B$22:B43),"")</f>
        <v/>
      </c>
      <c r="C44" s="52"/>
      <c r="D44" s="8"/>
      <c r="E44" s="23"/>
      <c r="F44" s="39"/>
      <c r="G44" s="17"/>
      <c r="H44" s="17">
        <f t="shared" si="16"/>
        <v>0</v>
      </c>
      <c r="I44" s="17">
        <f t="shared" si="14"/>
        <v>0</v>
      </c>
      <c r="J44" s="15"/>
      <c r="K44" s="10">
        <f t="shared" si="17"/>
        <v>0</v>
      </c>
      <c r="L44" s="10"/>
      <c r="M44" s="17"/>
      <c r="N44" s="17">
        <f t="shared" si="18"/>
        <v>0</v>
      </c>
      <c r="O44" s="17">
        <f t="shared" si="19"/>
        <v>0</v>
      </c>
      <c r="P44" s="17">
        <f t="shared" si="15"/>
        <v>0</v>
      </c>
      <c r="Q44" s="17">
        <f t="shared" si="20"/>
        <v>0</v>
      </c>
      <c r="R44" s="49"/>
      <c r="S44" s="2"/>
      <c r="T44" s="2"/>
    </row>
    <row r="45" spans="2:20" x14ac:dyDescent="0.25">
      <c r="B45" s="63" t="str">
        <f>IF(F45&lt;&gt;"",1+MAX($B$22:B44),"")</f>
        <v/>
      </c>
      <c r="C45" s="64"/>
      <c r="D45" s="65" t="s">
        <v>65</v>
      </c>
      <c r="E45" s="23"/>
      <c r="F45" s="39"/>
      <c r="G45" s="17"/>
      <c r="H45" s="17">
        <f t="shared" si="16"/>
        <v>0</v>
      </c>
      <c r="I45" s="17">
        <f t="shared" si="14"/>
        <v>0</v>
      </c>
      <c r="J45" s="15"/>
      <c r="K45" s="10">
        <f t="shared" si="17"/>
        <v>0</v>
      </c>
      <c r="L45" s="10"/>
      <c r="M45" s="17"/>
      <c r="N45" s="17">
        <f t="shared" si="18"/>
        <v>0</v>
      </c>
      <c r="O45" s="17">
        <f t="shared" si="19"/>
        <v>0</v>
      </c>
      <c r="P45" s="17">
        <f t="shared" si="15"/>
        <v>0</v>
      </c>
      <c r="Q45" s="17">
        <f t="shared" si="20"/>
        <v>0</v>
      </c>
      <c r="R45" s="49"/>
      <c r="S45" s="2"/>
      <c r="T45" s="2"/>
    </row>
    <row r="46" spans="2:20" ht="27.6" x14ac:dyDescent="0.25">
      <c r="B46" s="48">
        <f>IF(F46&lt;&gt;"",1+MAX($B$22:B45),"")</f>
        <v>12</v>
      </c>
      <c r="C46" s="52" t="s">
        <v>118</v>
      </c>
      <c r="D46" s="8" t="s">
        <v>88</v>
      </c>
      <c r="E46" s="23" t="s">
        <v>49</v>
      </c>
      <c r="F46" s="71">
        <f>(8*0.92*1.67)/27</f>
        <v>0.45522962962962965</v>
      </c>
      <c r="G46" s="17">
        <v>273.11</v>
      </c>
      <c r="H46" s="17">
        <f t="shared" si="16"/>
        <v>245.79900000000001</v>
      </c>
      <c r="I46" s="17">
        <f t="shared" si="14"/>
        <v>111.89498773333334</v>
      </c>
      <c r="J46" s="15">
        <v>5.2544951590594771</v>
      </c>
      <c r="K46" s="10">
        <f t="shared" si="17"/>
        <v>2.3920018851493277</v>
      </c>
      <c r="L46" s="79" t="s">
        <v>224</v>
      </c>
      <c r="M46" s="80">
        <v>50.61</v>
      </c>
      <c r="N46" s="17">
        <f t="shared" si="18"/>
        <v>67.817400000000006</v>
      </c>
      <c r="O46" s="17">
        <f t="shared" si="19"/>
        <v>356.34620000000024</v>
      </c>
      <c r="P46" s="17">
        <f t="shared" si="15"/>
        <v>162.21934864592603</v>
      </c>
      <c r="Q46" s="17">
        <f t="shared" si="20"/>
        <v>274.11433637925938</v>
      </c>
      <c r="R46" s="49"/>
    </row>
    <row r="47" spans="2:20" x14ac:dyDescent="0.25">
      <c r="B47" s="48" t="str">
        <f>IF(F47&lt;&gt;"",1+MAX($B$22:B46),"")</f>
        <v/>
      </c>
      <c r="C47" s="52"/>
      <c r="D47" s="8"/>
      <c r="E47" s="23"/>
      <c r="F47" s="39"/>
      <c r="G47" s="17"/>
      <c r="H47" s="17">
        <f t="shared" si="16"/>
        <v>0</v>
      </c>
      <c r="I47" s="17">
        <f t="shared" si="14"/>
        <v>0</v>
      </c>
      <c r="J47" s="15"/>
      <c r="K47" s="10">
        <f t="shared" si="17"/>
        <v>0</v>
      </c>
      <c r="L47" s="10"/>
      <c r="M47" s="17"/>
      <c r="N47" s="17">
        <f t="shared" si="18"/>
        <v>0</v>
      </c>
      <c r="O47" s="17">
        <f t="shared" si="19"/>
        <v>0</v>
      </c>
      <c r="P47" s="17">
        <f t="shared" si="15"/>
        <v>0</v>
      </c>
      <c r="Q47" s="17">
        <f t="shared" si="20"/>
        <v>0</v>
      </c>
      <c r="R47" s="49"/>
    </row>
    <row r="48" spans="2:20" x14ac:dyDescent="0.25">
      <c r="B48" s="63" t="str">
        <f>IF(F48&lt;&gt;"",1+MAX($B$22:B47),"")</f>
        <v/>
      </c>
      <c r="C48" s="64"/>
      <c r="D48" s="65" t="s">
        <v>71</v>
      </c>
      <c r="E48" s="23"/>
      <c r="F48" s="39"/>
      <c r="G48" s="17"/>
      <c r="H48" s="17">
        <f t="shared" si="16"/>
        <v>0</v>
      </c>
      <c r="I48" s="17">
        <f t="shared" si="14"/>
        <v>0</v>
      </c>
      <c r="J48" s="15"/>
      <c r="K48" s="10">
        <f t="shared" si="17"/>
        <v>0</v>
      </c>
      <c r="L48" s="10"/>
      <c r="M48" s="17"/>
      <c r="N48" s="17">
        <f t="shared" si="18"/>
        <v>0</v>
      </c>
      <c r="O48" s="17">
        <f t="shared" si="19"/>
        <v>0</v>
      </c>
      <c r="P48" s="17">
        <f t="shared" si="15"/>
        <v>0</v>
      </c>
      <c r="Q48" s="17">
        <f t="shared" si="20"/>
        <v>0</v>
      </c>
      <c r="R48" s="49"/>
    </row>
    <row r="49" spans="2:22" ht="27.6" x14ac:dyDescent="0.25">
      <c r="B49" s="48">
        <f>IF(F49&lt;&gt;"",1+MAX($B$22:B48),"")</f>
        <v>13</v>
      </c>
      <c r="C49" s="52" t="s">
        <v>118</v>
      </c>
      <c r="D49" s="8" t="s">
        <v>91</v>
      </c>
      <c r="E49" s="23" t="s">
        <v>49</v>
      </c>
      <c r="F49" s="71">
        <f>(46.5*2*1)/27</f>
        <v>3.4444444444444446</v>
      </c>
      <c r="G49" s="17">
        <v>273.11</v>
      </c>
      <c r="H49" s="17">
        <f t="shared" si="16"/>
        <v>245.79900000000001</v>
      </c>
      <c r="I49" s="17">
        <f t="shared" si="14"/>
        <v>846.64100000000008</v>
      </c>
      <c r="J49" s="15">
        <v>5.2544951590594771</v>
      </c>
      <c r="K49" s="10">
        <f t="shared" si="17"/>
        <v>18.098816658982646</v>
      </c>
      <c r="L49" s="79" t="s">
        <v>224</v>
      </c>
      <c r="M49" s="80">
        <v>50.61</v>
      </c>
      <c r="N49" s="17">
        <f t="shared" si="18"/>
        <v>67.817400000000006</v>
      </c>
      <c r="O49" s="17">
        <f t="shared" si="19"/>
        <v>356.34620000000024</v>
      </c>
      <c r="P49" s="17">
        <f t="shared" si="15"/>
        <v>1227.4146888888897</v>
      </c>
      <c r="Q49" s="17">
        <f t="shared" si="20"/>
        <v>2074.0556888888896</v>
      </c>
      <c r="R49" s="49"/>
    </row>
    <row r="50" spans="2:22" x14ac:dyDescent="0.25">
      <c r="B50" s="48" t="str">
        <f>IF(F50&lt;&gt;"",1+MAX($B$22:B49),"")</f>
        <v/>
      </c>
      <c r="C50" s="52"/>
      <c r="D50" s="8"/>
      <c r="E50" s="23"/>
      <c r="F50" s="39"/>
      <c r="G50" s="17"/>
      <c r="H50" s="17">
        <f t="shared" si="16"/>
        <v>0</v>
      </c>
      <c r="I50" s="17">
        <f t="shared" si="14"/>
        <v>0</v>
      </c>
      <c r="J50" s="15"/>
      <c r="K50" s="10">
        <f t="shared" si="17"/>
        <v>0</v>
      </c>
      <c r="L50" s="10"/>
      <c r="M50" s="17"/>
      <c r="N50" s="17">
        <f t="shared" si="18"/>
        <v>0</v>
      </c>
      <c r="O50" s="17">
        <f t="shared" si="19"/>
        <v>0</v>
      </c>
      <c r="P50" s="17">
        <f t="shared" si="15"/>
        <v>0</v>
      </c>
      <c r="Q50" s="17">
        <f t="shared" si="20"/>
        <v>0</v>
      </c>
      <c r="R50" s="49"/>
    </row>
    <row r="51" spans="2:22" x14ac:dyDescent="0.25">
      <c r="B51" s="63" t="str">
        <f>IF(F51&lt;&gt;"",1+MAX($B$22:B50),"")</f>
        <v/>
      </c>
      <c r="C51" s="64"/>
      <c r="D51" s="65" t="s">
        <v>70</v>
      </c>
      <c r="E51" s="23"/>
      <c r="F51" s="39"/>
      <c r="G51" s="17"/>
      <c r="H51" s="17">
        <f t="shared" si="16"/>
        <v>0</v>
      </c>
      <c r="I51" s="17">
        <f t="shared" si="14"/>
        <v>0</v>
      </c>
      <c r="J51" s="15"/>
      <c r="K51" s="10">
        <f t="shared" si="17"/>
        <v>0</v>
      </c>
      <c r="L51" s="10"/>
      <c r="M51" s="17"/>
      <c r="N51" s="17">
        <f t="shared" si="18"/>
        <v>0</v>
      </c>
      <c r="O51" s="17">
        <f t="shared" si="19"/>
        <v>0</v>
      </c>
      <c r="P51" s="17">
        <f t="shared" si="15"/>
        <v>0</v>
      </c>
      <c r="Q51" s="17">
        <f t="shared" si="20"/>
        <v>0</v>
      </c>
      <c r="R51" s="49"/>
    </row>
    <row r="52" spans="2:22" ht="55.2" x14ac:dyDescent="0.25">
      <c r="B52" s="48">
        <f>IF(F52&lt;&gt;"",1+MAX($B$22:B51),"")</f>
        <v>14</v>
      </c>
      <c r="C52" s="131" t="s">
        <v>118</v>
      </c>
      <c r="D52" s="8" t="s">
        <v>217</v>
      </c>
      <c r="E52" s="23" t="s">
        <v>49</v>
      </c>
      <c r="F52" s="71">
        <f>((17*0.67*4.5)+(16*0.67*5.83))/27+(8*4.5*0.67+6.5*5.33*0.67)/27+(4273/27)</f>
        <v>164.22536111111111</v>
      </c>
      <c r="G52" s="17">
        <v>322.44600000000003</v>
      </c>
      <c r="H52" s="17">
        <f t="shared" si="16"/>
        <v>290.20140000000004</v>
      </c>
      <c r="I52" s="17">
        <f t="shared" si="14"/>
        <v>47658.429709950004</v>
      </c>
      <c r="J52" s="15">
        <v>4.6005890000000003</v>
      </c>
      <c r="K52" s="10">
        <f t="shared" si="17"/>
        <v>755.53338984880565</v>
      </c>
      <c r="L52" s="79" t="s">
        <v>225</v>
      </c>
      <c r="M52" s="80">
        <v>54.81</v>
      </c>
      <c r="N52" s="17">
        <f t="shared" si="18"/>
        <v>73.445400000000006</v>
      </c>
      <c r="O52" s="17">
        <f t="shared" si="19"/>
        <v>337.89209934060005</v>
      </c>
      <c r="P52" s="17">
        <f t="shared" si="15"/>
        <v>55490.452030801476</v>
      </c>
      <c r="Q52" s="17">
        <f t="shared" si="20"/>
        <v>103148.88174075147</v>
      </c>
      <c r="R52" s="49"/>
    </row>
    <row r="53" spans="2:22" ht="69" x14ac:dyDescent="0.25">
      <c r="B53" s="48">
        <f>IF(F53&lt;&gt;"",1+MAX($B$22:B52),"")</f>
        <v>15</v>
      </c>
      <c r="C53" s="131"/>
      <c r="D53" s="8" t="s">
        <v>80</v>
      </c>
      <c r="E53" s="23" t="s">
        <v>49</v>
      </c>
      <c r="F53" s="71">
        <f>1060/27</f>
        <v>39.25925925925926</v>
      </c>
      <c r="G53" s="17">
        <v>322.44600000000003</v>
      </c>
      <c r="H53" s="17">
        <f t="shared" si="16"/>
        <v>290.20140000000004</v>
      </c>
      <c r="I53" s="17">
        <f t="shared" si="14"/>
        <v>11393.092000000001</v>
      </c>
      <c r="J53" s="15">
        <v>4.6005890000000003</v>
      </c>
      <c r="K53" s="10">
        <f t="shared" si="17"/>
        <v>180.61571629629631</v>
      </c>
      <c r="L53" s="79" t="s">
        <v>225</v>
      </c>
      <c r="M53" s="80">
        <v>54.81</v>
      </c>
      <c r="N53" s="17">
        <f t="shared" si="18"/>
        <v>73.445400000000006</v>
      </c>
      <c r="O53" s="17">
        <f t="shared" si="19"/>
        <v>337.89209934060005</v>
      </c>
      <c r="P53" s="17">
        <f t="shared" si="15"/>
        <v>13265.393529668003</v>
      </c>
      <c r="Q53" s="17">
        <f t="shared" si="20"/>
        <v>24658.485529668003</v>
      </c>
      <c r="R53" s="49"/>
    </row>
    <row r="54" spans="2:22" x14ac:dyDescent="0.25">
      <c r="B54" s="48" t="str">
        <f>IF(F54&lt;&gt;"",1+MAX($B$22:B53),"")</f>
        <v/>
      </c>
      <c r="C54" s="52"/>
      <c r="D54" s="8"/>
      <c r="E54" s="23"/>
      <c r="F54" s="39"/>
      <c r="G54" s="17"/>
      <c r="H54" s="17">
        <f t="shared" si="16"/>
        <v>0</v>
      </c>
      <c r="I54" s="17">
        <f t="shared" si="14"/>
        <v>0</v>
      </c>
      <c r="J54" s="15"/>
      <c r="K54" s="10">
        <f t="shared" si="17"/>
        <v>0</v>
      </c>
      <c r="L54" s="10"/>
      <c r="M54" s="17"/>
      <c r="N54" s="17">
        <f t="shared" si="18"/>
        <v>0</v>
      </c>
      <c r="O54" s="17">
        <f t="shared" si="19"/>
        <v>0</v>
      </c>
      <c r="P54" s="17">
        <f t="shared" si="15"/>
        <v>0</v>
      </c>
      <c r="Q54" s="17">
        <f t="shared" si="20"/>
        <v>0</v>
      </c>
      <c r="R54" s="49"/>
    </row>
    <row r="55" spans="2:22" x14ac:dyDescent="0.25">
      <c r="B55" s="63" t="str">
        <f>IF(F55&lt;&gt;"",1+MAX($B$22:B54),"")</f>
        <v/>
      </c>
      <c r="C55" s="64"/>
      <c r="D55" s="65" t="s">
        <v>79</v>
      </c>
      <c r="E55" s="23"/>
      <c r="F55" s="39"/>
      <c r="G55" s="17"/>
      <c r="H55" s="17">
        <f t="shared" si="16"/>
        <v>0</v>
      </c>
      <c r="I55" s="17">
        <f t="shared" si="14"/>
        <v>0</v>
      </c>
      <c r="J55" s="15"/>
      <c r="K55" s="10">
        <f t="shared" si="17"/>
        <v>0</v>
      </c>
      <c r="L55" s="10"/>
      <c r="M55" s="17"/>
      <c r="N55" s="17">
        <f t="shared" si="18"/>
        <v>0</v>
      </c>
      <c r="O55" s="17">
        <f t="shared" si="19"/>
        <v>0</v>
      </c>
      <c r="P55" s="17">
        <f t="shared" si="15"/>
        <v>0</v>
      </c>
      <c r="Q55" s="17">
        <f t="shared" si="20"/>
        <v>0</v>
      </c>
      <c r="R55" s="49"/>
    </row>
    <row r="56" spans="2:22" ht="41.4" x14ac:dyDescent="0.25">
      <c r="B56" s="48">
        <f>IF(F56&lt;&gt;"",1+MAX($B$22:B55),"")</f>
        <v>16</v>
      </c>
      <c r="C56" s="52" t="s">
        <v>118</v>
      </c>
      <c r="D56" s="8" t="s">
        <v>81</v>
      </c>
      <c r="E56" s="23" t="s">
        <v>49</v>
      </c>
      <c r="F56" s="71">
        <f>(32*1*2.67)/27</f>
        <v>3.1644444444444444</v>
      </c>
      <c r="G56" s="17">
        <v>322.44600000000003</v>
      </c>
      <c r="H56" s="17">
        <f t="shared" si="16"/>
        <v>290.20140000000004</v>
      </c>
      <c r="I56" s="17">
        <f t="shared" si="14"/>
        <v>918.32620800000007</v>
      </c>
      <c r="J56" s="15">
        <v>4.6005890000000003</v>
      </c>
      <c r="K56" s="10">
        <f t="shared" si="17"/>
        <v>14.558308302222223</v>
      </c>
      <c r="L56" s="79" t="s">
        <v>225</v>
      </c>
      <c r="M56" s="80">
        <v>54.81</v>
      </c>
      <c r="N56" s="17">
        <f t="shared" si="18"/>
        <v>73.445400000000006</v>
      </c>
      <c r="O56" s="17">
        <f t="shared" si="19"/>
        <v>337.89209934060005</v>
      </c>
      <c r="P56" s="17">
        <f t="shared" si="15"/>
        <v>1069.2407765800322</v>
      </c>
      <c r="Q56" s="17">
        <f t="shared" si="20"/>
        <v>1987.5669845800321</v>
      </c>
      <c r="R56" s="49"/>
    </row>
    <row r="57" spans="2:22" s="12" customFormat="1" x14ac:dyDescent="0.25">
      <c r="B57" s="48" t="str">
        <f>IF(F57&lt;&gt;"",1+MAX($B$22:B56),"")</f>
        <v/>
      </c>
      <c r="C57" s="52"/>
      <c r="D57" s="8"/>
      <c r="E57" s="23"/>
      <c r="F57" s="39"/>
      <c r="G57" s="17"/>
      <c r="H57" s="17">
        <f t="shared" si="16"/>
        <v>0</v>
      </c>
      <c r="I57" s="17">
        <f t="shared" si="14"/>
        <v>0</v>
      </c>
      <c r="J57" s="15"/>
      <c r="K57" s="10">
        <f t="shared" si="17"/>
        <v>0</v>
      </c>
      <c r="L57" s="10"/>
      <c r="M57" s="17"/>
      <c r="N57" s="17">
        <f t="shared" si="18"/>
        <v>0</v>
      </c>
      <c r="O57" s="17">
        <f t="shared" si="19"/>
        <v>0</v>
      </c>
      <c r="P57" s="17">
        <f t="shared" si="15"/>
        <v>0</v>
      </c>
      <c r="Q57" s="17">
        <f t="shared" si="20"/>
        <v>0</v>
      </c>
      <c r="R57" s="49"/>
      <c r="T57" s="11"/>
      <c r="U57" s="11"/>
      <c r="V57" s="11"/>
    </row>
    <row r="58" spans="2:22" x14ac:dyDescent="0.25">
      <c r="B58" s="63" t="str">
        <f>IF(F58&lt;&gt;"",1+MAX($B$22:B57),"")</f>
        <v/>
      </c>
      <c r="C58" s="64"/>
      <c r="D58" s="65" t="s">
        <v>103</v>
      </c>
      <c r="E58" s="23"/>
      <c r="F58" s="39"/>
      <c r="G58" s="17"/>
      <c r="H58" s="17">
        <f t="shared" si="16"/>
        <v>0</v>
      </c>
      <c r="I58" s="17">
        <f t="shared" si="14"/>
        <v>0</v>
      </c>
      <c r="J58" s="15"/>
      <c r="K58" s="10">
        <f t="shared" si="17"/>
        <v>0</v>
      </c>
      <c r="L58" s="10"/>
      <c r="M58" s="17"/>
      <c r="N58" s="17">
        <f t="shared" si="18"/>
        <v>0</v>
      </c>
      <c r="O58" s="17">
        <f t="shared" si="19"/>
        <v>0</v>
      </c>
      <c r="P58" s="17">
        <f t="shared" si="15"/>
        <v>0</v>
      </c>
      <c r="Q58" s="17">
        <f t="shared" si="20"/>
        <v>0</v>
      </c>
      <c r="R58" s="49"/>
    </row>
    <row r="59" spans="2:22" ht="55.2" x14ac:dyDescent="0.25">
      <c r="B59" s="48">
        <f>IF(F59&lt;&gt;"",1+MAX($B$22:B58),"")</f>
        <v>17</v>
      </c>
      <c r="C59" s="131" t="s">
        <v>118</v>
      </c>
      <c r="D59" s="8" t="s">
        <v>104</v>
      </c>
      <c r="E59" s="23" t="s">
        <v>49</v>
      </c>
      <c r="F59" s="71">
        <f>(87*0.67*1.67)/27</f>
        <v>3.6053444444444445</v>
      </c>
      <c r="G59" s="17">
        <v>308.35000000000002</v>
      </c>
      <c r="H59" s="17">
        <f t="shared" si="16"/>
        <v>277.51500000000004</v>
      </c>
      <c r="I59" s="17">
        <f t="shared" si="14"/>
        <v>1000.5371635000001</v>
      </c>
      <c r="J59" s="15">
        <v>8.6060449999999999</v>
      </c>
      <c r="K59" s="10">
        <f t="shared" si="17"/>
        <v>31.027756529388888</v>
      </c>
      <c r="L59" s="79" t="s">
        <v>226</v>
      </c>
      <c r="M59" s="80">
        <v>52.21</v>
      </c>
      <c r="N59" s="17">
        <f t="shared" si="18"/>
        <v>69.961400000000012</v>
      </c>
      <c r="O59" s="17">
        <f t="shared" si="19"/>
        <v>602.09095666300004</v>
      </c>
      <c r="P59" s="17">
        <f t="shared" si="15"/>
        <v>2170.7452856551881</v>
      </c>
      <c r="Q59" s="17">
        <f t="shared" si="20"/>
        <v>3171.2824491551883</v>
      </c>
      <c r="R59" s="49"/>
    </row>
    <row r="60" spans="2:22" ht="55.2" x14ac:dyDescent="0.25">
      <c r="B60" s="48">
        <f>IF(F60&lt;&gt;"",1+MAX($B$22:B59),"")</f>
        <v>18</v>
      </c>
      <c r="C60" s="131"/>
      <c r="D60" s="8" t="s">
        <v>105</v>
      </c>
      <c r="E60" s="23" t="s">
        <v>49</v>
      </c>
      <c r="F60" s="71">
        <f>(90*0.67*1.42)/27</f>
        <v>3.1713333333333336</v>
      </c>
      <c r="G60" s="17">
        <v>308.35000000000002</v>
      </c>
      <c r="H60" s="17">
        <f t="shared" si="16"/>
        <v>277.51500000000004</v>
      </c>
      <c r="I60" s="17">
        <f t="shared" si="14"/>
        <v>880.09257000000025</v>
      </c>
      <c r="J60" s="15">
        <v>8.6060449999999999</v>
      </c>
      <c r="K60" s="10">
        <f t="shared" si="17"/>
        <v>27.292637376666669</v>
      </c>
      <c r="L60" s="79" t="s">
        <v>226</v>
      </c>
      <c r="M60" s="80">
        <v>52.21</v>
      </c>
      <c r="N60" s="17">
        <f t="shared" si="18"/>
        <v>69.961400000000012</v>
      </c>
      <c r="O60" s="17">
        <f t="shared" si="19"/>
        <v>602.09095666300004</v>
      </c>
      <c r="P60" s="17">
        <f t="shared" si="15"/>
        <v>1909.4311205639276</v>
      </c>
      <c r="Q60" s="17">
        <f t="shared" si="20"/>
        <v>2789.5236905639276</v>
      </c>
      <c r="R60" s="49"/>
    </row>
    <row r="61" spans="2:22" s="12" customFormat="1" x14ac:dyDescent="0.25">
      <c r="B61" s="48" t="str">
        <f>IF(F61&lt;&gt;"",1+MAX($B$22:B60),"")</f>
        <v/>
      </c>
      <c r="C61" s="52"/>
      <c r="D61" s="8"/>
      <c r="E61" s="23"/>
      <c r="F61" s="39"/>
      <c r="G61" s="17"/>
      <c r="H61" s="17">
        <f t="shared" si="16"/>
        <v>0</v>
      </c>
      <c r="I61" s="17">
        <f t="shared" si="14"/>
        <v>0</v>
      </c>
      <c r="J61" s="15"/>
      <c r="K61" s="10">
        <f t="shared" si="17"/>
        <v>0</v>
      </c>
      <c r="L61" s="10"/>
      <c r="M61" s="17"/>
      <c r="N61" s="17">
        <f t="shared" si="18"/>
        <v>0</v>
      </c>
      <c r="O61" s="17">
        <f t="shared" si="19"/>
        <v>0</v>
      </c>
      <c r="P61" s="17">
        <f t="shared" si="15"/>
        <v>0</v>
      </c>
      <c r="Q61" s="17">
        <f t="shared" si="20"/>
        <v>0</v>
      </c>
      <c r="R61" s="49"/>
      <c r="T61" s="11"/>
      <c r="U61" s="11"/>
      <c r="V61" s="11"/>
    </row>
    <row r="62" spans="2:22" x14ac:dyDescent="0.25">
      <c r="B62" s="63" t="str">
        <f>IF(F62&lt;&gt;"",1+MAX($B$22:B61),"")</f>
        <v/>
      </c>
      <c r="C62" s="64"/>
      <c r="D62" s="65" t="s">
        <v>92</v>
      </c>
      <c r="E62" s="23"/>
      <c r="F62" s="39"/>
      <c r="G62" s="17"/>
      <c r="H62" s="17">
        <f t="shared" si="16"/>
        <v>0</v>
      </c>
      <c r="I62" s="17">
        <f t="shared" si="14"/>
        <v>0</v>
      </c>
      <c r="J62" s="15"/>
      <c r="K62" s="10">
        <f t="shared" si="17"/>
        <v>0</v>
      </c>
      <c r="L62" s="10"/>
      <c r="M62" s="17"/>
      <c r="N62" s="17">
        <f t="shared" si="18"/>
        <v>0</v>
      </c>
      <c r="O62" s="17">
        <f t="shared" si="19"/>
        <v>0</v>
      </c>
      <c r="P62" s="17">
        <f t="shared" si="15"/>
        <v>0</v>
      </c>
      <c r="Q62" s="17">
        <f t="shared" si="20"/>
        <v>0</v>
      </c>
      <c r="R62" s="49"/>
    </row>
    <row r="63" spans="2:22" ht="27.6" x14ac:dyDescent="0.25">
      <c r="B63" s="48">
        <f>IF(F63&lt;&gt;"",1+MAX($B$22:B62),"")</f>
        <v>19</v>
      </c>
      <c r="C63" s="52" t="s">
        <v>118</v>
      </c>
      <c r="D63" s="8" t="s">
        <v>93</v>
      </c>
      <c r="E63" s="23" t="s">
        <v>49</v>
      </c>
      <c r="F63" s="71">
        <f>(3*3*1*2)/27</f>
        <v>0.66666666666666663</v>
      </c>
      <c r="G63" s="17">
        <v>268.01782000000003</v>
      </c>
      <c r="H63" s="17">
        <f t="shared" si="16"/>
        <v>241.21603800000003</v>
      </c>
      <c r="I63" s="17">
        <f t="shared" si="14"/>
        <v>160.81069200000002</v>
      </c>
      <c r="J63" s="15">
        <v>5.882555</v>
      </c>
      <c r="K63" s="10">
        <f t="shared" si="17"/>
        <v>3.9217033333333333</v>
      </c>
      <c r="L63" s="79" t="s">
        <v>226</v>
      </c>
      <c r="M63" s="80">
        <v>52.21</v>
      </c>
      <c r="N63" s="17">
        <f t="shared" si="18"/>
        <v>69.961400000000012</v>
      </c>
      <c r="O63" s="17">
        <f t="shared" si="19"/>
        <v>411.55178337700005</v>
      </c>
      <c r="P63" s="17">
        <f t="shared" si="15"/>
        <v>274.3678555846667</v>
      </c>
      <c r="Q63" s="17">
        <f t="shared" si="20"/>
        <v>435.17854758466672</v>
      </c>
      <c r="R63" s="49"/>
    </row>
    <row r="64" spans="2:22" s="12" customFormat="1" x14ac:dyDescent="0.25">
      <c r="B64" s="48" t="str">
        <f>IF(F64&lt;&gt;"",1+MAX($B$22:B63),"")</f>
        <v/>
      </c>
      <c r="C64" s="52"/>
      <c r="D64" s="8"/>
      <c r="E64" s="23"/>
      <c r="F64" s="39"/>
      <c r="G64" s="17"/>
      <c r="H64" s="17">
        <f t="shared" si="16"/>
        <v>0</v>
      </c>
      <c r="I64" s="17">
        <f t="shared" si="14"/>
        <v>0</v>
      </c>
      <c r="J64" s="15"/>
      <c r="K64" s="10">
        <f t="shared" si="17"/>
        <v>0</v>
      </c>
      <c r="L64" s="10"/>
      <c r="M64" s="17"/>
      <c r="N64" s="17">
        <f t="shared" si="18"/>
        <v>0</v>
      </c>
      <c r="O64" s="17">
        <f t="shared" si="19"/>
        <v>0</v>
      </c>
      <c r="P64" s="17">
        <f t="shared" si="15"/>
        <v>0</v>
      </c>
      <c r="Q64" s="17">
        <f t="shared" si="20"/>
        <v>0</v>
      </c>
      <c r="R64" s="49"/>
      <c r="T64" s="11"/>
      <c r="U64" s="11"/>
      <c r="V64" s="11"/>
    </row>
    <row r="65" spans="2:22" x14ac:dyDescent="0.25">
      <c r="B65" s="63" t="str">
        <f>IF(F65&lt;&gt;"",1+MAX($B$22:B64),"")</f>
        <v/>
      </c>
      <c r="C65" s="64"/>
      <c r="D65" s="65" t="s">
        <v>116</v>
      </c>
      <c r="E65" s="23"/>
      <c r="F65" s="39"/>
      <c r="G65" s="17"/>
      <c r="H65" s="17">
        <f t="shared" si="16"/>
        <v>0</v>
      </c>
      <c r="I65" s="17">
        <f t="shared" si="14"/>
        <v>0</v>
      </c>
      <c r="J65" s="15"/>
      <c r="K65" s="10">
        <f t="shared" si="17"/>
        <v>0</v>
      </c>
      <c r="L65" s="10"/>
      <c r="M65" s="17"/>
      <c r="N65" s="17">
        <f t="shared" si="18"/>
        <v>0</v>
      </c>
      <c r="O65" s="17">
        <f t="shared" si="19"/>
        <v>0</v>
      </c>
      <c r="P65" s="17">
        <f t="shared" si="15"/>
        <v>0</v>
      </c>
      <c r="Q65" s="17">
        <f t="shared" si="20"/>
        <v>0</v>
      </c>
      <c r="R65" s="49"/>
    </row>
    <row r="66" spans="2:22" ht="41.4" x14ac:dyDescent="0.25">
      <c r="B66" s="48">
        <f>IF(F66&lt;&gt;"",1+MAX($B$22:B65),"")</f>
        <v>20</v>
      </c>
      <c r="C66" s="52" t="s">
        <v>118</v>
      </c>
      <c r="D66" s="8" t="s">
        <v>94</v>
      </c>
      <c r="E66" s="23" t="s">
        <v>49</v>
      </c>
      <c r="F66" s="71">
        <f>(1*1*3*2)/27</f>
        <v>0.22222222222222221</v>
      </c>
      <c r="G66" s="17">
        <v>845.76</v>
      </c>
      <c r="H66" s="17">
        <f t="shared" si="16"/>
        <v>761.18399999999997</v>
      </c>
      <c r="I66" s="17">
        <f t="shared" si="14"/>
        <v>169.15199999999999</v>
      </c>
      <c r="J66" s="15">
        <v>5.9971800000000002</v>
      </c>
      <c r="K66" s="10">
        <f t="shared" si="17"/>
        <v>1.3327066666666667</v>
      </c>
      <c r="L66" s="79" t="s">
        <v>227</v>
      </c>
      <c r="M66" s="80">
        <v>50.61</v>
      </c>
      <c r="N66" s="17">
        <f t="shared" si="18"/>
        <v>67.817400000000006</v>
      </c>
      <c r="O66" s="17">
        <f t="shared" si="19"/>
        <v>406.71315493200007</v>
      </c>
      <c r="P66" s="17">
        <f t="shared" si="15"/>
        <v>90.38070109600001</v>
      </c>
      <c r="Q66" s="17">
        <f t="shared" si="20"/>
        <v>259.53270109599998</v>
      </c>
      <c r="R66" s="49"/>
    </row>
    <row r="67" spans="2:22" x14ac:dyDescent="0.25">
      <c r="B67" s="48" t="str">
        <f>IF(F67&lt;&gt;"",1+MAX($B$22:B66),"")</f>
        <v/>
      </c>
      <c r="C67" s="52"/>
      <c r="D67" s="8"/>
      <c r="E67" s="23"/>
      <c r="F67" s="39"/>
      <c r="G67" s="17"/>
      <c r="H67" s="17">
        <f t="shared" si="16"/>
        <v>0</v>
      </c>
      <c r="I67" s="17">
        <f t="shared" si="14"/>
        <v>0</v>
      </c>
      <c r="J67" s="15"/>
      <c r="K67" s="10">
        <f t="shared" si="17"/>
        <v>0</v>
      </c>
      <c r="L67" s="10"/>
      <c r="M67" s="17"/>
      <c r="N67" s="17">
        <f t="shared" si="18"/>
        <v>0</v>
      </c>
      <c r="O67" s="17">
        <f t="shared" si="19"/>
        <v>0</v>
      </c>
      <c r="P67" s="17">
        <f t="shared" si="15"/>
        <v>0</v>
      </c>
      <c r="Q67" s="17">
        <f t="shared" si="20"/>
        <v>0</v>
      </c>
      <c r="R67" s="49"/>
    </row>
    <row r="68" spans="2:22" x14ac:dyDescent="0.25">
      <c r="B68" s="63" t="str">
        <f>IF(F68&lt;&gt;"",1+MAX($B$22:B67),"")</f>
        <v/>
      </c>
      <c r="C68" s="64"/>
      <c r="D68" s="65" t="s">
        <v>68</v>
      </c>
      <c r="E68" s="23"/>
      <c r="F68" s="39"/>
      <c r="G68" s="17"/>
      <c r="H68" s="17">
        <f t="shared" si="16"/>
        <v>0</v>
      </c>
      <c r="I68" s="17">
        <f t="shared" si="14"/>
        <v>0</v>
      </c>
      <c r="J68" s="15"/>
      <c r="K68" s="10">
        <f t="shared" si="17"/>
        <v>0</v>
      </c>
      <c r="L68" s="10"/>
      <c r="M68" s="17"/>
      <c r="N68" s="17">
        <f t="shared" si="18"/>
        <v>0</v>
      </c>
      <c r="O68" s="17">
        <f t="shared" si="19"/>
        <v>0</v>
      </c>
      <c r="P68" s="17">
        <f t="shared" si="15"/>
        <v>0</v>
      </c>
      <c r="Q68" s="17">
        <f t="shared" si="20"/>
        <v>0</v>
      </c>
      <c r="R68" s="49"/>
    </row>
    <row r="69" spans="2:22" x14ac:dyDescent="0.25">
      <c r="B69" s="48">
        <f>IF(F69&lt;&gt;"",1+MAX($B$22:B68),"")</f>
        <v>21</v>
      </c>
      <c r="C69" s="52" t="s">
        <v>117</v>
      </c>
      <c r="D69" s="8" t="s">
        <v>90</v>
      </c>
      <c r="E69" s="23" t="s">
        <v>48</v>
      </c>
      <c r="F69" s="39">
        <v>563</v>
      </c>
      <c r="G69" s="17">
        <v>0.5</v>
      </c>
      <c r="H69" s="17">
        <f t="shared" si="16"/>
        <v>0.45</v>
      </c>
      <c r="I69" s="17">
        <f t="shared" si="14"/>
        <v>253.35</v>
      </c>
      <c r="J69" s="15">
        <v>4.0000000000000001E-3</v>
      </c>
      <c r="K69" s="10">
        <f t="shared" si="17"/>
        <v>2.2520000000000002</v>
      </c>
      <c r="L69" s="79" t="s">
        <v>231</v>
      </c>
      <c r="M69" s="80">
        <v>62.74</v>
      </c>
      <c r="N69" s="17">
        <f t="shared" si="18"/>
        <v>84.071600000000004</v>
      </c>
      <c r="O69" s="17">
        <f t="shared" si="19"/>
        <v>0.33628640000000004</v>
      </c>
      <c r="P69" s="17">
        <f t="shared" si="15"/>
        <v>189.32924320000004</v>
      </c>
      <c r="Q69" s="17">
        <f t="shared" si="20"/>
        <v>442.67924320000003</v>
      </c>
      <c r="R69" s="49"/>
    </row>
    <row r="70" spans="2:22" s="12" customFormat="1" x14ac:dyDescent="0.25">
      <c r="B70" s="48" t="str">
        <f>IF(F70&lt;&gt;"",1+MAX($B$22:B69),"")</f>
        <v/>
      </c>
      <c r="C70" s="52"/>
      <c r="D70" s="8"/>
      <c r="E70" s="23"/>
      <c r="F70" s="39"/>
      <c r="G70" s="17"/>
      <c r="H70" s="17">
        <f t="shared" si="16"/>
        <v>0</v>
      </c>
      <c r="I70" s="17">
        <f t="shared" si="14"/>
        <v>0</v>
      </c>
      <c r="J70" s="15"/>
      <c r="K70" s="10">
        <f t="shared" si="17"/>
        <v>0</v>
      </c>
      <c r="L70" s="10"/>
      <c r="M70" s="17"/>
      <c r="N70" s="17">
        <f t="shared" si="18"/>
        <v>0</v>
      </c>
      <c r="O70" s="17">
        <f t="shared" si="19"/>
        <v>0</v>
      </c>
      <c r="P70" s="17">
        <f t="shared" si="15"/>
        <v>0</v>
      </c>
      <c r="Q70" s="17">
        <f t="shared" si="20"/>
        <v>0</v>
      </c>
      <c r="R70" s="49"/>
      <c r="T70" s="11"/>
      <c r="U70" s="11"/>
      <c r="V70" s="11"/>
    </row>
    <row r="71" spans="2:22" x14ac:dyDescent="0.25">
      <c r="B71" s="63" t="str">
        <f>IF(F71&lt;&gt;"",1+MAX($B$22:B70),"")</f>
        <v/>
      </c>
      <c r="C71" s="64"/>
      <c r="D71" s="65" t="s">
        <v>72</v>
      </c>
      <c r="E71" s="23"/>
      <c r="F71" s="39"/>
      <c r="G71" s="17"/>
      <c r="H71" s="17">
        <f t="shared" si="16"/>
        <v>0</v>
      </c>
      <c r="I71" s="17">
        <f t="shared" si="14"/>
        <v>0</v>
      </c>
      <c r="J71" s="15"/>
      <c r="K71" s="10">
        <f t="shared" si="17"/>
        <v>0</v>
      </c>
      <c r="L71" s="10"/>
      <c r="M71" s="17"/>
      <c r="N71" s="17">
        <f t="shared" si="18"/>
        <v>0</v>
      </c>
      <c r="O71" s="17">
        <f t="shared" si="19"/>
        <v>0</v>
      </c>
      <c r="P71" s="17">
        <f t="shared" si="15"/>
        <v>0</v>
      </c>
      <c r="Q71" s="17">
        <f t="shared" si="20"/>
        <v>0</v>
      </c>
      <c r="R71" s="49"/>
    </row>
    <row r="72" spans="2:22" x14ac:dyDescent="0.25">
      <c r="B72" s="48">
        <f>IF(F72&lt;&gt;"",1+MAX($B$22:B71),"")</f>
        <v>22</v>
      </c>
      <c r="C72" s="131" t="s">
        <v>118</v>
      </c>
      <c r="D72" s="8" t="s">
        <v>95</v>
      </c>
      <c r="E72" s="23" t="s">
        <v>73</v>
      </c>
      <c r="F72" s="39">
        <f>23990*1.043*1.01</f>
        <v>25271.7857</v>
      </c>
      <c r="G72" s="17">
        <v>0.8</v>
      </c>
      <c r="H72" s="17">
        <f t="shared" si="16"/>
        <v>0.72000000000000008</v>
      </c>
      <c r="I72" s="17">
        <f t="shared" si="14"/>
        <v>18195.685704000003</v>
      </c>
      <c r="J72" s="15">
        <v>8.9999999999999993E-3</v>
      </c>
      <c r="K72" s="10">
        <f t="shared" si="17"/>
        <v>227.4460713</v>
      </c>
      <c r="L72" s="79" t="s">
        <v>228</v>
      </c>
      <c r="M72" s="80">
        <v>39.119999999999997</v>
      </c>
      <c r="N72" s="17">
        <f t="shared" si="18"/>
        <v>52.4208</v>
      </c>
      <c r="O72" s="17">
        <f t="shared" si="19"/>
        <v>0.47178719999999996</v>
      </c>
      <c r="P72" s="17">
        <f t="shared" si="15"/>
        <v>11922.905014403039</v>
      </c>
      <c r="Q72" s="17">
        <f t="shared" si="20"/>
        <v>30118.590718403044</v>
      </c>
      <c r="R72" s="49"/>
    </row>
    <row r="73" spans="2:22" x14ac:dyDescent="0.25">
      <c r="B73" s="48">
        <f>IF(F73&lt;&gt;"",1+MAX($B$22:B72),"")</f>
        <v>23</v>
      </c>
      <c r="C73" s="131"/>
      <c r="D73" s="8" t="s">
        <v>96</v>
      </c>
      <c r="E73" s="23" t="s">
        <v>73</v>
      </c>
      <c r="F73" s="39">
        <f>171*0.668*1.01</f>
        <v>115.37028000000001</v>
      </c>
      <c r="G73" s="17">
        <v>0.75</v>
      </c>
      <c r="H73" s="17">
        <f t="shared" si="16"/>
        <v>0.67500000000000004</v>
      </c>
      <c r="I73" s="17">
        <f t="shared" si="14"/>
        <v>77.874939000000012</v>
      </c>
      <c r="J73" s="15">
        <v>0.01</v>
      </c>
      <c r="K73" s="10">
        <f t="shared" si="17"/>
        <v>1.1537028</v>
      </c>
      <c r="L73" s="79" t="s">
        <v>228</v>
      </c>
      <c r="M73" s="80">
        <v>39.119999999999997</v>
      </c>
      <c r="N73" s="17">
        <f t="shared" si="18"/>
        <v>52.4208</v>
      </c>
      <c r="O73" s="17">
        <f t="shared" si="19"/>
        <v>0.52420800000000001</v>
      </c>
      <c r="P73" s="17">
        <f t="shared" si="15"/>
        <v>60.478023738240005</v>
      </c>
      <c r="Q73" s="17">
        <f t="shared" si="20"/>
        <v>138.35296273824002</v>
      </c>
      <c r="R73" s="49"/>
    </row>
    <row r="74" spans="2:22" x14ac:dyDescent="0.25">
      <c r="B74" s="48">
        <f>IF(F74&lt;&gt;"",1+MAX($B$22:B73),"")</f>
        <v>24</v>
      </c>
      <c r="C74" s="131"/>
      <c r="D74" s="8" t="s">
        <v>97</v>
      </c>
      <c r="E74" s="23" t="s">
        <v>73</v>
      </c>
      <c r="F74" s="39">
        <f>13783*0.668*1.01</f>
        <v>9299.1144399999994</v>
      </c>
      <c r="G74" s="17">
        <v>0.75</v>
      </c>
      <c r="H74" s="17">
        <f t="shared" si="16"/>
        <v>0.67500000000000004</v>
      </c>
      <c r="I74" s="17">
        <f t="shared" si="14"/>
        <v>6276.902247</v>
      </c>
      <c r="J74" s="15">
        <v>0.01</v>
      </c>
      <c r="K74" s="10">
        <f t="shared" si="17"/>
        <v>92.991144399999996</v>
      </c>
      <c r="L74" s="79" t="s">
        <v>228</v>
      </c>
      <c r="M74" s="80">
        <v>39.119999999999997</v>
      </c>
      <c r="N74" s="17">
        <f t="shared" si="18"/>
        <v>52.4208</v>
      </c>
      <c r="O74" s="17">
        <f t="shared" si="19"/>
        <v>0.52420800000000001</v>
      </c>
      <c r="P74" s="17">
        <f t="shared" si="15"/>
        <v>4874.6701823635194</v>
      </c>
      <c r="Q74" s="17">
        <f t="shared" si="20"/>
        <v>11151.572429363519</v>
      </c>
      <c r="R74" s="49"/>
    </row>
    <row r="75" spans="2:22" x14ac:dyDescent="0.25">
      <c r="B75" s="48">
        <f>IF(F75&lt;&gt;"",1+MAX($B$22:B74),"")</f>
        <v>25</v>
      </c>
      <c r="C75" s="131"/>
      <c r="D75" s="8" t="s">
        <v>98</v>
      </c>
      <c r="E75" s="23" t="s">
        <v>73</v>
      </c>
      <c r="F75" s="39">
        <f>1943*1.043*1.01</f>
        <v>2046.8144899999998</v>
      </c>
      <c r="G75" s="17">
        <v>0.8</v>
      </c>
      <c r="H75" s="17">
        <f t="shared" si="16"/>
        <v>0.72000000000000008</v>
      </c>
      <c r="I75" s="17">
        <f t="shared" si="14"/>
        <v>1473.7064327999999</v>
      </c>
      <c r="J75" s="15">
        <v>8.9999999999999993E-3</v>
      </c>
      <c r="K75" s="10">
        <f t="shared" si="17"/>
        <v>18.421330409999996</v>
      </c>
      <c r="L75" s="79" t="s">
        <v>228</v>
      </c>
      <c r="M75" s="80">
        <v>39.119999999999997</v>
      </c>
      <c r="N75" s="17">
        <f t="shared" si="18"/>
        <v>52.4208</v>
      </c>
      <c r="O75" s="17">
        <f t="shared" si="19"/>
        <v>0.47178719999999996</v>
      </c>
      <c r="P75" s="17">
        <f t="shared" si="15"/>
        <v>965.66087715652782</v>
      </c>
      <c r="Q75" s="17">
        <f t="shared" si="20"/>
        <v>2439.3673099565276</v>
      </c>
      <c r="R75" s="49"/>
    </row>
    <row r="76" spans="2:22" x14ac:dyDescent="0.25">
      <c r="B76" s="48">
        <f>IF(F76&lt;&gt;"",1+MAX($B$22:B75),"")</f>
        <v>26</v>
      </c>
      <c r="C76" s="131"/>
      <c r="D76" s="8" t="s">
        <v>99</v>
      </c>
      <c r="E76" s="23" t="s">
        <v>73</v>
      </c>
      <c r="F76" s="39">
        <f>93*1.043*1.01</f>
        <v>97.968989999999991</v>
      </c>
      <c r="G76" s="17">
        <v>0.8</v>
      </c>
      <c r="H76" s="17">
        <f t="shared" si="16"/>
        <v>0.72000000000000008</v>
      </c>
      <c r="I76" s="17">
        <f t="shared" si="14"/>
        <v>70.537672799999996</v>
      </c>
      <c r="J76" s="15">
        <v>8.9999999999999993E-3</v>
      </c>
      <c r="K76" s="10">
        <f t="shared" si="17"/>
        <v>0.88172090999999986</v>
      </c>
      <c r="L76" s="79" t="s">
        <v>228</v>
      </c>
      <c r="M76" s="80">
        <v>39.119999999999997</v>
      </c>
      <c r="N76" s="17">
        <f t="shared" si="18"/>
        <v>52.4208</v>
      </c>
      <c r="O76" s="17">
        <f t="shared" si="19"/>
        <v>0.47178719999999996</v>
      </c>
      <c r="P76" s="17">
        <f t="shared" si="15"/>
        <v>46.220515478927993</v>
      </c>
      <c r="Q76" s="17">
        <f t="shared" si="20"/>
        <v>116.75818827892799</v>
      </c>
      <c r="R76" s="49"/>
    </row>
    <row r="77" spans="2:22" x14ac:dyDescent="0.25">
      <c r="B77" s="48">
        <f>IF(F77&lt;&gt;"",1+MAX($B$22:B76),"")</f>
        <v>27</v>
      </c>
      <c r="C77" s="131"/>
      <c r="D77" s="8" t="s">
        <v>100</v>
      </c>
      <c r="E77" s="23" t="s">
        <v>73</v>
      </c>
      <c r="F77" s="39">
        <f>48*0.668*1.01</f>
        <v>32.384639999999997</v>
      </c>
      <c r="G77" s="17">
        <v>0.75</v>
      </c>
      <c r="H77" s="17">
        <f t="shared" si="16"/>
        <v>0.67500000000000004</v>
      </c>
      <c r="I77" s="17">
        <f t="shared" si="14"/>
        <v>21.859632000000001</v>
      </c>
      <c r="J77" s="15">
        <v>0.01</v>
      </c>
      <c r="K77" s="10">
        <f t="shared" si="17"/>
        <v>0.32384639999999998</v>
      </c>
      <c r="L77" s="79" t="s">
        <v>228</v>
      </c>
      <c r="M77" s="80">
        <v>39.119999999999997</v>
      </c>
      <c r="N77" s="17">
        <f t="shared" si="18"/>
        <v>52.4208</v>
      </c>
      <c r="O77" s="17">
        <f t="shared" si="19"/>
        <v>0.52420800000000001</v>
      </c>
      <c r="P77" s="17">
        <f t="shared" si="15"/>
        <v>16.976287365119997</v>
      </c>
      <c r="Q77" s="17">
        <f t="shared" si="20"/>
        <v>38.835919365119999</v>
      </c>
      <c r="R77" s="49"/>
    </row>
    <row r="78" spans="2:22" x14ac:dyDescent="0.25">
      <c r="B78" s="48">
        <f>IF(F78&lt;&gt;"",1+MAX($B$22:B77),"")</f>
        <v>28</v>
      </c>
      <c r="C78" s="131"/>
      <c r="D78" s="8" t="s">
        <v>101</v>
      </c>
      <c r="E78" s="23" t="s">
        <v>73</v>
      </c>
      <c r="F78" s="39">
        <f>64*1.043*1.01</f>
        <v>67.419519999999991</v>
      </c>
      <c r="G78" s="17">
        <v>0.8</v>
      </c>
      <c r="H78" s="17">
        <f t="shared" si="16"/>
        <v>0.72000000000000008</v>
      </c>
      <c r="I78" s="17">
        <f t="shared" si="14"/>
        <v>48.542054399999998</v>
      </c>
      <c r="J78" s="15">
        <v>8.9999999999999993E-3</v>
      </c>
      <c r="K78" s="10">
        <f t="shared" si="17"/>
        <v>0.60677567999999993</v>
      </c>
      <c r="L78" s="79" t="s">
        <v>228</v>
      </c>
      <c r="M78" s="80">
        <v>39.119999999999997</v>
      </c>
      <c r="N78" s="17">
        <f t="shared" si="18"/>
        <v>52.4208</v>
      </c>
      <c r="O78" s="17">
        <f t="shared" si="19"/>
        <v>0.47178719999999996</v>
      </c>
      <c r="P78" s="17">
        <f t="shared" si="15"/>
        <v>31.807666566143993</v>
      </c>
      <c r="Q78" s="17">
        <f t="shared" si="20"/>
        <v>80.349720966143991</v>
      </c>
      <c r="R78" s="49"/>
    </row>
    <row r="79" spans="2:22" x14ac:dyDescent="0.25">
      <c r="B79" s="48">
        <f>IF(F79&lt;&gt;"",1+MAX($B$22:B78),"")</f>
        <v>29</v>
      </c>
      <c r="C79" s="131"/>
      <c r="D79" s="8" t="s">
        <v>102</v>
      </c>
      <c r="E79" s="23" t="s">
        <v>73</v>
      </c>
      <c r="F79" s="39">
        <f>36*0.367*1.01</f>
        <v>13.34412</v>
      </c>
      <c r="G79" s="17">
        <v>0.87</v>
      </c>
      <c r="H79" s="17">
        <f t="shared" si="16"/>
        <v>0.78300000000000003</v>
      </c>
      <c r="I79" s="17">
        <f t="shared" si="14"/>
        <v>10.448445960000001</v>
      </c>
      <c r="J79" s="15">
        <v>1.0999999999999999E-2</v>
      </c>
      <c r="K79" s="10">
        <f t="shared" si="17"/>
        <v>0.14678532</v>
      </c>
      <c r="L79" s="79" t="s">
        <v>228</v>
      </c>
      <c r="M79" s="80">
        <v>39.119999999999997</v>
      </c>
      <c r="N79" s="17">
        <f t="shared" si="18"/>
        <v>52.4208</v>
      </c>
      <c r="O79" s="17">
        <f t="shared" si="19"/>
        <v>0.57662879999999994</v>
      </c>
      <c r="P79" s="17">
        <f t="shared" si="15"/>
        <v>7.6946039026559996</v>
      </c>
      <c r="Q79" s="17">
        <f t="shared" si="20"/>
        <v>18.143049862656</v>
      </c>
      <c r="R79" s="49"/>
    </row>
    <row r="80" spans="2:22" x14ac:dyDescent="0.25">
      <c r="B80" s="48">
        <f>IF(F80&lt;&gt;"",1+MAX($B$22:B79),"")</f>
        <v>30</v>
      </c>
      <c r="C80" s="131"/>
      <c r="D80" s="8" t="s">
        <v>106</v>
      </c>
      <c r="E80" s="23" t="s">
        <v>73</v>
      </c>
      <c r="F80" s="39">
        <f>354*0.668*1.01</f>
        <v>238.83672000000001</v>
      </c>
      <c r="G80" s="17">
        <v>0.75</v>
      </c>
      <c r="H80" s="17">
        <f t="shared" si="16"/>
        <v>0.67500000000000004</v>
      </c>
      <c r="I80" s="17">
        <f t="shared" si="14"/>
        <v>161.21478600000003</v>
      </c>
      <c r="J80" s="15">
        <v>0.01</v>
      </c>
      <c r="K80" s="10">
        <f t="shared" si="17"/>
        <v>2.3883672000000002</v>
      </c>
      <c r="L80" s="79" t="s">
        <v>228</v>
      </c>
      <c r="M80" s="80">
        <v>39.119999999999997</v>
      </c>
      <c r="N80" s="17">
        <f t="shared" si="18"/>
        <v>52.4208</v>
      </c>
      <c r="O80" s="17">
        <f t="shared" si="19"/>
        <v>0.52420800000000001</v>
      </c>
      <c r="P80" s="17">
        <f t="shared" si="15"/>
        <v>125.20011931776001</v>
      </c>
      <c r="Q80" s="17">
        <f t="shared" si="20"/>
        <v>286.41490531776003</v>
      </c>
      <c r="R80" s="49"/>
    </row>
    <row r="81" spans="2:22" x14ac:dyDescent="0.25">
      <c r="B81" s="48">
        <f>IF(F81&lt;&gt;"",1+MAX($B$22:B80),"")</f>
        <v>31</v>
      </c>
      <c r="C81" s="131"/>
      <c r="D81" s="8" t="s">
        <v>107</v>
      </c>
      <c r="E81" s="23" t="s">
        <v>73</v>
      </c>
      <c r="F81" s="39">
        <f>354*1.502*1.01</f>
        <v>537.02508</v>
      </c>
      <c r="G81" s="17">
        <v>0.67</v>
      </c>
      <c r="H81" s="17">
        <f t="shared" si="16"/>
        <v>0.60300000000000009</v>
      </c>
      <c r="I81" s="17">
        <f t="shared" si="14"/>
        <v>323.82612324000007</v>
      </c>
      <c r="J81" s="15">
        <v>8.0000000000000002E-3</v>
      </c>
      <c r="K81" s="10">
        <f t="shared" si="17"/>
        <v>4.2962006400000003</v>
      </c>
      <c r="L81" s="79" t="s">
        <v>228</v>
      </c>
      <c r="M81" s="80">
        <v>39.119999999999997</v>
      </c>
      <c r="N81" s="17">
        <f t="shared" si="18"/>
        <v>52.4208</v>
      </c>
      <c r="O81" s="17">
        <f t="shared" si="19"/>
        <v>0.41936640000000003</v>
      </c>
      <c r="P81" s="17">
        <f t="shared" si="15"/>
        <v>225.21027450931203</v>
      </c>
      <c r="Q81" s="17">
        <f t="shared" si="20"/>
        <v>549.03639774931207</v>
      </c>
      <c r="R81" s="49"/>
    </row>
    <row r="82" spans="2:22" x14ac:dyDescent="0.25">
      <c r="B82" s="48">
        <f>IF(F82&lt;&gt;"",1+MAX($B$22:B81),"")</f>
        <v>32</v>
      </c>
      <c r="C82" s="131"/>
      <c r="D82" s="8" t="s">
        <v>108</v>
      </c>
      <c r="E82" s="23" t="s">
        <v>73</v>
      </c>
      <c r="F82" s="39">
        <f>1446*0.367*1.01</f>
        <v>535.98882000000003</v>
      </c>
      <c r="G82" s="17">
        <v>0.87</v>
      </c>
      <c r="H82" s="17">
        <f t="shared" si="16"/>
        <v>0.78300000000000003</v>
      </c>
      <c r="I82" s="17">
        <f t="shared" si="14"/>
        <v>419.67924606000003</v>
      </c>
      <c r="J82" s="15">
        <v>1.0999999999999999E-2</v>
      </c>
      <c r="K82" s="10">
        <f t="shared" si="17"/>
        <v>5.8958770200000004</v>
      </c>
      <c r="L82" s="79" t="s">
        <v>228</v>
      </c>
      <c r="M82" s="80">
        <v>39.119999999999997</v>
      </c>
      <c r="N82" s="17">
        <f t="shared" si="18"/>
        <v>52.4208</v>
      </c>
      <c r="O82" s="17">
        <f t="shared" si="19"/>
        <v>0.57662879999999994</v>
      </c>
      <c r="P82" s="17">
        <f t="shared" si="15"/>
        <v>309.06659009001601</v>
      </c>
      <c r="Q82" s="17">
        <f t="shared" si="20"/>
        <v>728.74583615001598</v>
      </c>
      <c r="R82" s="49"/>
    </row>
    <row r="83" spans="2:22" s="12" customFormat="1" x14ac:dyDescent="0.25">
      <c r="B83" s="48" t="str">
        <f>IF(F83&lt;&gt;"",1+MAX($B$22:B82),"")</f>
        <v/>
      </c>
      <c r="C83" s="52"/>
      <c r="D83" s="8"/>
      <c r="E83" s="23"/>
      <c r="F83" s="39"/>
      <c r="G83" s="17"/>
      <c r="H83" s="17">
        <f t="shared" si="16"/>
        <v>0</v>
      </c>
      <c r="I83" s="17">
        <f t="shared" si="14"/>
        <v>0</v>
      </c>
      <c r="J83" s="15"/>
      <c r="K83" s="10">
        <f t="shared" si="17"/>
        <v>0</v>
      </c>
      <c r="L83" s="10"/>
      <c r="M83" s="17"/>
      <c r="N83" s="17">
        <f t="shared" si="18"/>
        <v>0</v>
      </c>
      <c r="O83" s="17">
        <f t="shared" si="19"/>
        <v>0</v>
      </c>
      <c r="P83" s="17">
        <f t="shared" si="15"/>
        <v>0</v>
      </c>
      <c r="Q83" s="17">
        <f t="shared" si="20"/>
        <v>0</v>
      </c>
      <c r="R83" s="49"/>
      <c r="T83" s="11"/>
      <c r="U83" s="11"/>
      <c r="V83" s="11"/>
    </row>
    <row r="84" spans="2:22" x14ac:dyDescent="0.25">
      <c r="B84" s="63" t="str">
        <f>IF(F84&lt;&gt;"",1+MAX($B$22:B83),"")</f>
        <v/>
      </c>
      <c r="C84" s="64"/>
      <c r="D84" s="65" t="s">
        <v>74</v>
      </c>
      <c r="E84" s="23"/>
      <c r="F84" s="39"/>
      <c r="G84" s="17"/>
      <c r="H84" s="17">
        <f t="shared" si="16"/>
        <v>0</v>
      </c>
      <c r="I84" s="17">
        <f t="shared" si="14"/>
        <v>0</v>
      </c>
      <c r="J84" s="15"/>
      <c r="K84" s="10">
        <f t="shared" si="17"/>
        <v>0</v>
      </c>
      <c r="L84" s="10"/>
      <c r="M84" s="17"/>
      <c r="N84" s="17">
        <f t="shared" si="18"/>
        <v>0</v>
      </c>
      <c r="O84" s="17">
        <f t="shared" si="19"/>
        <v>0</v>
      </c>
      <c r="P84" s="17">
        <f t="shared" si="15"/>
        <v>0</v>
      </c>
      <c r="Q84" s="17">
        <f t="shared" si="20"/>
        <v>0</v>
      </c>
      <c r="R84" s="49"/>
    </row>
    <row r="85" spans="2:22" s="12" customFormat="1" x14ac:dyDescent="0.25">
      <c r="B85" s="48">
        <f>IF(F85&lt;&gt;"",1+MAX($B$22:B84),"")</f>
        <v>33</v>
      </c>
      <c r="C85" s="52" t="s">
        <v>117</v>
      </c>
      <c r="D85" s="8" t="s">
        <v>75</v>
      </c>
      <c r="E85" s="23" t="s">
        <v>48</v>
      </c>
      <c r="F85" s="39">
        <v>12762</v>
      </c>
      <c r="G85" s="17">
        <v>2</v>
      </c>
      <c r="H85" s="17">
        <f t="shared" si="16"/>
        <v>1.8</v>
      </c>
      <c r="I85" s="17">
        <f t="shared" si="14"/>
        <v>22971.600000000002</v>
      </c>
      <c r="J85" s="15">
        <v>3.6999999999999998E-2</v>
      </c>
      <c r="K85" s="10">
        <f t="shared" si="17"/>
        <v>472.19399999999996</v>
      </c>
      <c r="L85" s="79" t="s">
        <v>229</v>
      </c>
      <c r="M85" s="80">
        <v>53.15</v>
      </c>
      <c r="N85" s="17">
        <f t="shared" si="18"/>
        <v>71.221000000000004</v>
      </c>
      <c r="O85" s="17">
        <f t="shared" si="19"/>
        <v>2.6351770000000001</v>
      </c>
      <c r="P85" s="17">
        <f t="shared" si="15"/>
        <v>33630.128874000002</v>
      </c>
      <c r="Q85" s="17">
        <f t="shared" si="20"/>
        <v>56601.728874000008</v>
      </c>
      <c r="R85" s="49"/>
      <c r="T85" s="11"/>
      <c r="U85" s="11"/>
      <c r="V85" s="11"/>
    </row>
    <row r="86" spans="2:22" s="12" customFormat="1" x14ac:dyDescent="0.25">
      <c r="B86" s="48" t="str">
        <f>IF(F86&lt;&gt;"",1+MAX($B$22:B85),"")</f>
        <v/>
      </c>
      <c r="C86" s="52"/>
      <c r="D86" s="8"/>
      <c r="E86" s="23"/>
      <c r="F86" s="39"/>
      <c r="G86" s="17"/>
      <c r="H86" s="17">
        <f t="shared" si="16"/>
        <v>0</v>
      </c>
      <c r="I86" s="17">
        <f t="shared" si="14"/>
        <v>0</v>
      </c>
      <c r="J86" s="15"/>
      <c r="K86" s="10">
        <f t="shared" si="17"/>
        <v>0</v>
      </c>
      <c r="L86" s="10"/>
      <c r="M86" s="17"/>
      <c r="N86" s="17">
        <f t="shared" si="18"/>
        <v>0</v>
      </c>
      <c r="O86" s="17">
        <f t="shared" si="19"/>
        <v>0</v>
      </c>
      <c r="P86" s="17">
        <f t="shared" si="15"/>
        <v>0</v>
      </c>
      <c r="Q86" s="17">
        <f t="shared" si="20"/>
        <v>0</v>
      </c>
      <c r="R86" s="49"/>
      <c r="T86" s="11"/>
      <c r="U86" s="11"/>
      <c r="V86" s="11"/>
    </row>
    <row r="87" spans="2:22" x14ac:dyDescent="0.25">
      <c r="B87" s="63" t="str">
        <f>IF(F87&lt;&gt;"",1+MAX($B$22:B86),"")</f>
        <v/>
      </c>
      <c r="C87" s="64"/>
      <c r="D87" s="65" t="s">
        <v>77</v>
      </c>
      <c r="E87" s="23"/>
      <c r="F87" s="39"/>
      <c r="G87" s="17"/>
      <c r="H87" s="17">
        <f t="shared" si="16"/>
        <v>0</v>
      </c>
      <c r="I87" s="17">
        <f t="shared" si="14"/>
        <v>0</v>
      </c>
      <c r="J87" s="15"/>
      <c r="K87" s="10">
        <f t="shared" si="17"/>
        <v>0</v>
      </c>
      <c r="L87" s="10"/>
      <c r="M87" s="17"/>
      <c r="N87" s="17">
        <f t="shared" si="18"/>
        <v>0</v>
      </c>
      <c r="O87" s="17">
        <f t="shared" si="19"/>
        <v>0</v>
      </c>
      <c r="P87" s="17">
        <f t="shared" si="15"/>
        <v>0</v>
      </c>
      <c r="Q87" s="17">
        <f t="shared" si="20"/>
        <v>0</v>
      </c>
      <c r="R87" s="49"/>
    </row>
    <row r="88" spans="2:22" x14ac:dyDescent="0.25">
      <c r="B88" s="48">
        <f>IF(F88&lt;&gt;"",1+MAX($B$22:B87),"")</f>
        <v>34</v>
      </c>
      <c r="C88" s="131" t="s">
        <v>117</v>
      </c>
      <c r="D88" s="8" t="s">
        <v>111</v>
      </c>
      <c r="E88" s="23" t="s">
        <v>48</v>
      </c>
      <c r="F88" s="39">
        <v>5595</v>
      </c>
      <c r="G88" s="17">
        <v>1.43</v>
      </c>
      <c r="H88" s="17">
        <f t="shared" si="16"/>
        <v>1.2869999999999999</v>
      </c>
      <c r="I88" s="17">
        <f t="shared" si="14"/>
        <v>7200.7649999999994</v>
      </c>
      <c r="J88" s="15">
        <v>1.7000000000000001E-2</v>
      </c>
      <c r="K88" s="10">
        <f t="shared" si="17"/>
        <v>95.115000000000009</v>
      </c>
      <c r="L88" s="79" t="s">
        <v>232</v>
      </c>
      <c r="M88" s="80">
        <v>46.2</v>
      </c>
      <c r="N88" s="17">
        <f t="shared" si="18"/>
        <v>61.908000000000008</v>
      </c>
      <c r="O88" s="17">
        <f t="shared" si="19"/>
        <v>1.0524360000000001</v>
      </c>
      <c r="P88" s="17">
        <f t="shared" si="15"/>
        <v>5888.3794200000011</v>
      </c>
      <c r="Q88" s="17">
        <f t="shared" si="20"/>
        <v>13089.144420000001</v>
      </c>
      <c r="R88" s="49"/>
    </row>
    <row r="89" spans="2:22" x14ac:dyDescent="0.25">
      <c r="B89" s="48">
        <f>IF(F89&lt;&gt;"",1+MAX($B$22:B88),"")</f>
        <v>35</v>
      </c>
      <c r="C89" s="131"/>
      <c r="D89" s="8" t="s">
        <v>109</v>
      </c>
      <c r="E89" s="23" t="s">
        <v>48</v>
      </c>
      <c r="F89" s="39">
        <v>12440</v>
      </c>
      <c r="G89" s="17">
        <v>1.43</v>
      </c>
      <c r="H89" s="17">
        <f t="shared" si="16"/>
        <v>1.2869999999999999</v>
      </c>
      <c r="I89" s="17">
        <f t="shared" ref="I89" si="28">F89*H89</f>
        <v>16010.279999999999</v>
      </c>
      <c r="J89" s="15">
        <v>1.7000000000000001E-2</v>
      </c>
      <c r="K89" s="10">
        <f t="shared" si="17"/>
        <v>211.48000000000002</v>
      </c>
      <c r="L89" s="79" t="s">
        <v>232</v>
      </c>
      <c r="M89" s="80">
        <v>46.2</v>
      </c>
      <c r="N89" s="17">
        <f t="shared" si="18"/>
        <v>61.908000000000008</v>
      </c>
      <c r="O89" s="17">
        <f t="shared" si="19"/>
        <v>1.0524360000000001</v>
      </c>
      <c r="P89" s="17">
        <f t="shared" ref="P89:P110" si="29">F89*O89</f>
        <v>13092.303840000002</v>
      </c>
      <c r="Q89" s="17">
        <f t="shared" si="20"/>
        <v>29102.583839999999</v>
      </c>
      <c r="R89" s="49"/>
    </row>
    <row r="90" spans="2:22" x14ac:dyDescent="0.25">
      <c r="B90" s="48" t="str">
        <f>IF(F90&lt;&gt;"",1+MAX($B$22:B89),"")</f>
        <v/>
      </c>
      <c r="C90" s="52"/>
      <c r="D90" s="8"/>
      <c r="E90" s="23"/>
      <c r="F90" s="39"/>
      <c r="G90" s="17"/>
      <c r="H90" s="17">
        <f t="shared" ref="H90:H110" si="30">G90*$T$2</f>
        <v>0</v>
      </c>
      <c r="I90" s="17">
        <f t="shared" ref="I90:I110" si="31">F90*H90</f>
        <v>0</v>
      </c>
      <c r="J90" s="15"/>
      <c r="K90" s="10">
        <f t="shared" ref="K90:K110" si="32">F90*J90</f>
        <v>0</v>
      </c>
      <c r="L90" s="10"/>
      <c r="M90" s="17"/>
      <c r="N90" s="17">
        <f t="shared" ref="N90:N110" si="33">M90*$U$2</f>
        <v>0</v>
      </c>
      <c r="O90" s="17">
        <f t="shared" ref="O90:O110" si="34">J90*N90</f>
        <v>0</v>
      </c>
      <c r="P90" s="17">
        <f t="shared" si="29"/>
        <v>0</v>
      </c>
      <c r="Q90" s="17">
        <f t="shared" ref="Q90:Q110" si="35">I90+P90</f>
        <v>0</v>
      </c>
      <c r="R90" s="49"/>
    </row>
    <row r="91" spans="2:22" x14ac:dyDescent="0.25">
      <c r="B91" s="63" t="str">
        <f>IF(F91&lt;&gt;"",1+MAX($B$22:B90),"")</f>
        <v/>
      </c>
      <c r="C91" s="64"/>
      <c r="D91" s="65" t="s">
        <v>78</v>
      </c>
      <c r="E91" s="23"/>
      <c r="F91" s="39"/>
      <c r="G91" s="17"/>
      <c r="H91" s="17">
        <f t="shared" si="30"/>
        <v>0</v>
      </c>
      <c r="I91" s="17">
        <f t="shared" si="31"/>
        <v>0</v>
      </c>
      <c r="J91" s="15"/>
      <c r="K91" s="10">
        <f t="shared" si="32"/>
        <v>0</v>
      </c>
      <c r="L91" s="10"/>
      <c r="M91" s="17"/>
      <c r="N91" s="17">
        <f t="shared" si="33"/>
        <v>0</v>
      </c>
      <c r="O91" s="17">
        <f t="shared" si="34"/>
        <v>0</v>
      </c>
      <c r="P91" s="17">
        <f t="shared" si="29"/>
        <v>0</v>
      </c>
      <c r="Q91" s="17">
        <f t="shared" si="35"/>
        <v>0</v>
      </c>
      <c r="R91" s="49"/>
    </row>
    <row r="92" spans="2:22" x14ac:dyDescent="0.25">
      <c r="B92" s="48">
        <f>IF(F92&lt;&gt;"",1+MAX($B$22:B91),"")</f>
        <v>36</v>
      </c>
      <c r="C92" s="131" t="s">
        <v>118</v>
      </c>
      <c r="D92" s="8" t="s">
        <v>112</v>
      </c>
      <c r="E92" s="23" t="s">
        <v>48</v>
      </c>
      <c r="F92" s="39">
        <v>382</v>
      </c>
      <c r="G92" s="17">
        <v>1.1200000000000001</v>
      </c>
      <c r="H92" s="17">
        <f t="shared" si="30"/>
        <v>1.0080000000000002</v>
      </c>
      <c r="I92" s="17">
        <f t="shared" si="31"/>
        <v>385.0560000000001</v>
      </c>
      <c r="J92" s="15">
        <v>2.4E-2</v>
      </c>
      <c r="K92" s="10">
        <f t="shared" si="32"/>
        <v>9.168000000000001</v>
      </c>
      <c r="L92" s="79" t="s">
        <v>235</v>
      </c>
      <c r="M92" s="80">
        <v>46.2</v>
      </c>
      <c r="N92" s="17">
        <f t="shared" si="33"/>
        <v>61.908000000000008</v>
      </c>
      <c r="O92" s="17">
        <f t="shared" si="34"/>
        <v>1.4857920000000002</v>
      </c>
      <c r="P92" s="17">
        <f t="shared" si="29"/>
        <v>567.57254400000011</v>
      </c>
      <c r="Q92" s="17">
        <f t="shared" si="35"/>
        <v>952.62854400000015</v>
      </c>
      <c r="R92" s="49"/>
    </row>
    <row r="93" spans="2:22" x14ac:dyDescent="0.25">
      <c r="B93" s="48">
        <f>IF(F93&lt;&gt;"",1+MAX($B$22:B92),"")</f>
        <v>37</v>
      </c>
      <c r="C93" s="131"/>
      <c r="D93" s="8" t="s">
        <v>113</v>
      </c>
      <c r="E93" s="23" t="s">
        <v>48</v>
      </c>
      <c r="F93" s="39">
        <v>4831</v>
      </c>
      <c r="G93" s="17">
        <v>0.36</v>
      </c>
      <c r="H93" s="17">
        <f t="shared" si="30"/>
        <v>0.32400000000000001</v>
      </c>
      <c r="I93" s="17">
        <f t="shared" si="31"/>
        <v>1565.2440000000001</v>
      </c>
      <c r="J93" s="15">
        <v>5.0000000000000001E-3</v>
      </c>
      <c r="K93" s="10">
        <f t="shared" si="32"/>
        <v>24.155000000000001</v>
      </c>
      <c r="L93" s="79" t="s">
        <v>235</v>
      </c>
      <c r="M93" s="80">
        <v>46.2</v>
      </c>
      <c r="N93" s="17">
        <f t="shared" si="33"/>
        <v>61.908000000000008</v>
      </c>
      <c r="O93" s="17">
        <f t="shared" si="34"/>
        <v>0.30954000000000004</v>
      </c>
      <c r="P93" s="17">
        <f t="shared" si="29"/>
        <v>1495.3877400000001</v>
      </c>
      <c r="Q93" s="17">
        <f t="shared" si="35"/>
        <v>3060.6317400000003</v>
      </c>
      <c r="R93" s="49"/>
    </row>
    <row r="94" spans="2:22" x14ac:dyDescent="0.25">
      <c r="B94" s="48" t="str">
        <f>IF(F94&lt;&gt;"",1+MAX($B$22:B93),"")</f>
        <v/>
      </c>
      <c r="C94" s="52"/>
      <c r="D94" s="8"/>
      <c r="E94" s="23"/>
      <c r="F94" s="39"/>
      <c r="G94" s="17"/>
      <c r="H94" s="17">
        <f t="shared" si="30"/>
        <v>0</v>
      </c>
      <c r="I94" s="17">
        <f t="shared" si="31"/>
        <v>0</v>
      </c>
      <c r="J94" s="15"/>
      <c r="K94" s="10">
        <f t="shared" si="32"/>
        <v>0</v>
      </c>
      <c r="L94" s="10"/>
      <c r="M94" s="17"/>
      <c r="N94" s="17">
        <f t="shared" si="33"/>
        <v>0</v>
      </c>
      <c r="O94" s="17">
        <f t="shared" si="34"/>
        <v>0</v>
      </c>
      <c r="P94" s="17">
        <f t="shared" si="29"/>
        <v>0</v>
      </c>
      <c r="Q94" s="17">
        <f t="shared" si="35"/>
        <v>0</v>
      </c>
      <c r="R94" s="49"/>
    </row>
    <row r="95" spans="2:22" x14ac:dyDescent="0.25">
      <c r="B95" s="63" t="str">
        <f>IF(F95&lt;&gt;"",1+MAX($B$22:B94),"")</f>
        <v/>
      </c>
      <c r="C95" s="64"/>
      <c r="D95" s="65" t="s">
        <v>69</v>
      </c>
      <c r="E95" s="23"/>
      <c r="F95" s="39"/>
      <c r="G95" s="17"/>
      <c r="H95" s="17">
        <f t="shared" si="30"/>
        <v>0</v>
      </c>
      <c r="I95" s="17">
        <f t="shared" si="31"/>
        <v>0</v>
      </c>
      <c r="J95" s="15"/>
      <c r="K95" s="10">
        <f t="shared" si="32"/>
        <v>0</v>
      </c>
      <c r="L95" s="10"/>
      <c r="M95" s="17"/>
      <c r="N95" s="17">
        <f t="shared" si="33"/>
        <v>0</v>
      </c>
      <c r="O95" s="17">
        <f t="shared" si="34"/>
        <v>0</v>
      </c>
      <c r="P95" s="17">
        <f t="shared" si="29"/>
        <v>0</v>
      </c>
      <c r="Q95" s="17">
        <f t="shared" si="35"/>
        <v>0</v>
      </c>
      <c r="R95" s="49"/>
    </row>
    <row r="96" spans="2:22" ht="27.6" x14ac:dyDescent="0.25">
      <c r="B96" s="48">
        <f>IF(F96&lt;&gt;"",1+MAX($B$22:B95),"")</f>
        <v>38</v>
      </c>
      <c r="C96" s="131" t="s">
        <v>117</v>
      </c>
      <c r="D96" s="8" t="s">
        <v>114</v>
      </c>
      <c r="E96" s="23" t="s">
        <v>48</v>
      </c>
      <c r="F96" s="39">
        <v>12440</v>
      </c>
      <c r="G96" s="17">
        <v>0.33</v>
      </c>
      <c r="H96" s="17">
        <f t="shared" si="30"/>
        <v>0.29700000000000004</v>
      </c>
      <c r="I96" s="17">
        <f t="shared" si="31"/>
        <v>3694.6800000000007</v>
      </c>
      <c r="J96" s="15">
        <v>1.2E-2</v>
      </c>
      <c r="K96" s="10">
        <f t="shared" si="32"/>
        <v>149.28</v>
      </c>
      <c r="L96" s="79" t="s">
        <v>229</v>
      </c>
      <c r="M96" s="80">
        <v>53.15</v>
      </c>
      <c r="N96" s="17">
        <f t="shared" si="33"/>
        <v>71.221000000000004</v>
      </c>
      <c r="O96" s="17">
        <f t="shared" si="34"/>
        <v>0.85465200000000008</v>
      </c>
      <c r="P96" s="17">
        <f t="shared" si="29"/>
        <v>10631.87088</v>
      </c>
      <c r="Q96" s="17">
        <f t="shared" si="35"/>
        <v>14326.550880000001</v>
      </c>
      <c r="R96" s="49"/>
    </row>
    <row r="97" spans="2:19" ht="27.6" x14ac:dyDescent="0.25">
      <c r="B97" s="48">
        <f>IF(F97&lt;&gt;"",1+MAX($B$22:B96),"")</f>
        <v>39</v>
      </c>
      <c r="C97" s="131"/>
      <c r="D97" s="8" t="s">
        <v>115</v>
      </c>
      <c r="E97" s="23" t="s">
        <v>48</v>
      </c>
      <c r="F97" s="39">
        <v>4831</v>
      </c>
      <c r="G97" s="17">
        <v>0.33</v>
      </c>
      <c r="H97" s="17">
        <f t="shared" si="30"/>
        <v>0.29700000000000004</v>
      </c>
      <c r="I97" s="17">
        <f t="shared" si="31"/>
        <v>1434.8070000000002</v>
      </c>
      <c r="J97" s="15">
        <v>1.2E-2</v>
      </c>
      <c r="K97" s="10">
        <f t="shared" si="32"/>
        <v>57.972000000000001</v>
      </c>
      <c r="L97" s="79" t="s">
        <v>229</v>
      </c>
      <c r="M97" s="80">
        <v>53.15</v>
      </c>
      <c r="N97" s="17">
        <f t="shared" si="33"/>
        <v>71.221000000000004</v>
      </c>
      <c r="O97" s="17">
        <f t="shared" si="34"/>
        <v>0.85465200000000008</v>
      </c>
      <c r="P97" s="17">
        <f t="shared" si="29"/>
        <v>4128.8238120000005</v>
      </c>
      <c r="Q97" s="17">
        <f t="shared" si="35"/>
        <v>5563.6308120000012</v>
      </c>
      <c r="R97" s="49"/>
    </row>
    <row r="98" spans="2:19" x14ac:dyDescent="0.25">
      <c r="B98" s="48" t="str">
        <f>IF(F98&lt;&gt;"",1+MAX($B$22:B97),"")</f>
        <v/>
      </c>
      <c r="C98" s="52"/>
      <c r="D98" s="8"/>
      <c r="E98" s="23"/>
      <c r="F98" s="39"/>
      <c r="G98" s="17"/>
      <c r="H98" s="17">
        <f t="shared" si="30"/>
        <v>0</v>
      </c>
      <c r="I98" s="17">
        <f t="shared" si="31"/>
        <v>0</v>
      </c>
      <c r="J98" s="15"/>
      <c r="K98" s="10">
        <f t="shared" si="32"/>
        <v>0</v>
      </c>
      <c r="L98" s="10"/>
      <c r="M98" s="17"/>
      <c r="N98" s="17">
        <f t="shared" si="33"/>
        <v>0</v>
      </c>
      <c r="O98" s="17">
        <f t="shared" si="34"/>
        <v>0</v>
      </c>
      <c r="P98" s="17">
        <f t="shared" si="29"/>
        <v>0</v>
      </c>
      <c r="Q98" s="17">
        <f t="shared" si="35"/>
        <v>0</v>
      </c>
      <c r="R98" s="49"/>
    </row>
    <row r="99" spans="2:19" x14ac:dyDescent="0.25">
      <c r="B99" s="63" t="str">
        <f>IF(F99&lt;&gt;"",1+MAX($B$22:B98),"")</f>
        <v/>
      </c>
      <c r="C99" s="64"/>
      <c r="D99" s="65" t="s">
        <v>122</v>
      </c>
      <c r="E99" s="23"/>
      <c r="F99" s="39"/>
      <c r="G99" s="17"/>
      <c r="H99" s="17">
        <f t="shared" si="30"/>
        <v>0</v>
      </c>
      <c r="I99" s="17">
        <f t="shared" si="31"/>
        <v>0</v>
      </c>
      <c r="J99" s="15"/>
      <c r="K99" s="10">
        <f t="shared" si="32"/>
        <v>0</v>
      </c>
      <c r="L99" s="10"/>
      <c r="M99" s="17"/>
      <c r="N99" s="17">
        <f t="shared" si="33"/>
        <v>0</v>
      </c>
      <c r="O99" s="17">
        <f t="shared" si="34"/>
        <v>0</v>
      </c>
      <c r="P99" s="17">
        <f t="shared" si="29"/>
        <v>0</v>
      </c>
      <c r="Q99" s="17">
        <f t="shared" si="35"/>
        <v>0</v>
      </c>
      <c r="R99" s="49"/>
    </row>
    <row r="100" spans="2:19" ht="55.2" x14ac:dyDescent="0.25">
      <c r="B100" s="48">
        <f>IF(F100&lt;&gt;"",1+MAX($B$22:B99),"")</f>
        <v>40</v>
      </c>
      <c r="C100" s="52" t="s">
        <v>123</v>
      </c>
      <c r="D100" s="8" t="s">
        <v>124</v>
      </c>
      <c r="E100" s="23" t="s">
        <v>50</v>
      </c>
      <c r="F100" s="39">
        <f>322+276</f>
        <v>598</v>
      </c>
      <c r="G100" s="17">
        <v>9.1</v>
      </c>
      <c r="H100" s="17">
        <f t="shared" si="30"/>
        <v>8.19</v>
      </c>
      <c r="I100" s="17">
        <f t="shared" si="31"/>
        <v>4897.62</v>
      </c>
      <c r="J100" s="15">
        <v>0.23100000000000001</v>
      </c>
      <c r="K100" s="10">
        <f t="shared" si="32"/>
        <v>138.13800000000001</v>
      </c>
      <c r="L100" s="79" t="s">
        <v>234</v>
      </c>
      <c r="M100" s="80">
        <v>59.25</v>
      </c>
      <c r="N100" s="17">
        <f t="shared" si="33"/>
        <v>79.39500000000001</v>
      </c>
      <c r="O100" s="17">
        <f t="shared" si="34"/>
        <v>18.340245000000003</v>
      </c>
      <c r="P100" s="17">
        <f t="shared" si="29"/>
        <v>10967.466510000002</v>
      </c>
      <c r="Q100" s="17">
        <f t="shared" si="35"/>
        <v>15865.086510000001</v>
      </c>
      <c r="R100" s="49"/>
    </row>
    <row r="101" spans="2:19" x14ac:dyDescent="0.25">
      <c r="B101" s="48" t="str">
        <f>IF(F101&lt;&gt;"",1+MAX($B$22:B100),"")</f>
        <v/>
      </c>
      <c r="C101" s="52"/>
      <c r="D101" s="50"/>
      <c r="E101" s="23"/>
      <c r="F101" s="39"/>
      <c r="G101" s="17"/>
      <c r="H101" s="17">
        <f t="shared" si="30"/>
        <v>0</v>
      </c>
      <c r="I101" s="17">
        <f t="shared" si="31"/>
        <v>0</v>
      </c>
      <c r="J101" s="15"/>
      <c r="K101" s="10">
        <f t="shared" si="32"/>
        <v>0</v>
      </c>
      <c r="L101" s="10"/>
      <c r="M101" s="17"/>
      <c r="N101" s="17">
        <f t="shared" si="33"/>
        <v>0</v>
      </c>
      <c r="O101" s="17">
        <f t="shared" si="34"/>
        <v>0</v>
      </c>
      <c r="P101" s="17">
        <f t="shared" si="29"/>
        <v>0</v>
      </c>
      <c r="Q101" s="17">
        <f t="shared" si="35"/>
        <v>0</v>
      </c>
      <c r="R101" s="49"/>
    </row>
    <row r="102" spans="2:19" x14ac:dyDescent="0.25">
      <c r="B102" s="63" t="str">
        <f>IF(F102&lt;&gt;"",1+MAX($B$22:B101),"")</f>
        <v/>
      </c>
      <c r="C102" s="64"/>
      <c r="D102" s="65" t="s">
        <v>55</v>
      </c>
      <c r="E102" s="23"/>
      <c r="F102" s="39"/>
      <c r="G102" s="17"/>
      <c r="H102" s="17">
        <f t="shared" si="30"/>
        <v>0</v>
      </c>
      <c r="I102" s="17">
        <f t="shared" si="31"/>
        <v>0</v>
      </c>
      <c r="J102" s="15"/>
      <c r="K102" s="10">
        <f t="shared" si="32"/>
        <v>0</v>
      </c>
      <c r="L102" s="10"/>
      <c r="M102" s="17"/>
      <c r="N102" s="17">
        <f t="shared" si="33"/>
        <v>0</v>
      </c>
      <c r="O102" s="17">
        <f t="shared" si="34"/>
        <v>0</v>
      </c>
      <c r="P102" s="17">
        <f t="shared" si="29"/>
        <v>0</v>
      </c>
      <c r="Q102" s="17">
        <f t="shared" si="35"/>
        <v>0</v>
      </c>
      <c r="R102" s="49"/>
    </row>
    <row r="103" spans="2:19" ht="69" x14ac:dyDescent="0.25">
      <c r="B103" s="48">
        <f>IF(F103&lt;&gt;"",1+MAX($B$22:B102),"")</f>
        <v>41</v>
      </c>
      <c r="C103" s="52" t="s">
        <v>123</v>
      </c>
      <c r="D103" s="8" t="s">
        <v>125</v>
      </c>
      <c r="E103" s="23" t="s">
        <v>48</v>
      </c>
      <c r="F103" s="39">
        <v>432.7</v>
      </c>
      <c r="G103" s="17">
        <v>2.9166666666666665</v>
      </c>
      <c r="H103" s="17">
        <f t="shared" si="30"/>
        <v>2.625</v>
      </c>
      <c r="I103" s="17">
        <f t="shared" si="31"/>
        <v>1135.8374999999999</v>
      </c>
      <c r="J103" s="15">
        <v>9.7000000000000003E-2</v>
      </c>
      <c r="K103" s="10">
        <f t="shared" si="32"/>
        <v>41.971899999999998</v>
      </c>
      <c r="L103" s="79" t="s">
        <v>233</v>
      </c>
      <c r="M103" s="80">
        <v>48.4</v>
      </c>
      <c r="N103" s="17">
        <f t="shared" si="33"/>
        <v>64.856000000000009</v>
      </c>
      <c r="O103" s="17">
        <f t="shared" si="34"/>
        <v>6.2910320000000013</v>
      </c>
      <c r="P103" s="17">
        <f t="shared" si="29"/>
        <v>2722.1295464000004</v>
      </c>
      <c r="Q103" s="17">
        <f t="shared" si="35"/>
        <v>3857.9670464000001</v>
      </c>
      <c r="R103" s="49"/>
    </row>
    <row r="104" spans="2:19" x14ac:dyDescent="0.25">
      <c r="B104" s="48" t="str">
        <f>IF(F104&lt;&gt;"",1+MAX($B$22:B103),"")</f>
        <v/>
      </c>
      <c r="C104" s="52"/>
      <c r="D104" s="50"/>
      <c r="E104" s="23"/>
      <c r="F104" s="39"/>
      <c r="G104" s="17"/>
      <c r="H104" s="17">
        <f t="shared" si="30"/>
        <v>0</v>
      </c>
      <c r="I104" s="17">
        <f t="shared" si="31"/>
        <v>0</v>
      </c>
      <c r="J104" s="15"/>
      <c r="K104" s="10">
        <f t="shared" si="32"/>
        <v>0</v>
      </c>
      <c r="L104" s="10"/>
      <c r="M104" s="17"/>
      <c r="N104" s="17">
        <f t="shared" si="33"/>
        <v>0</v>
      </c>
      <c r="O104" s="17">
        <f t="shared" si="34"/>
        <v>0</v>
      </c>
      <c r="P104" s="17">
        <f t="shared" si="29"/>
        <v>0</v>
      </c>
      <c r="Q104" s="17">
        <f t="shared" si="35"/>
        <v>0</v>
      </c>
      <c r="R104" s="49"/>
    </row>
    <row r="105" spans="2:19" x14ac:dyDescent="0.25">
      <c r="B105" s="63" t="str">
        <f>IF(F105&lt;&gt;"",1+MAX($B$22:B104),"")</f>
        <v/>
      </c>
      <c r="C105" s="64"/>
      <c r="D105" s="65" t="s">
        <v>126</v>
      </c>
      <c r="E105" s="23"/>
      <c r="F105" s="39"/>
      <c r="G105" s="17"/>
      <c r="H105" s="17">
        <f t="shared" si="30"/>
        <v>0</v>
      </c>
      <c r="I105" s="17">
        <f t="shared" si="31"/>
        <v>0</v>
      </c>
      <c r="J105" s="15"/>
      <c r="K105" s="10">
        <f t="shared" si="32"/>
        <v>0</v>
      </c>
      <c r="L105" s="10"/>
      <c r="M105" s="17"/>
      <c r="N105" s="17">
        <f t="shared" si="33"/>
        <v>0</v>
      </c>
      <c r="O105" s="17">
        <f t="shared" si="34"/>
        <v>0</v>
      </c>
      <c r="P105" s="17">
        <f t="shared" si="29"/>
        <v>0</v>
      </c>
      <c r="Q105" s="17">
        <f t="shared" si="35"/>
        <v>0</v>
      </c>
      <c r="R105" s="49"/>
    </row>
    <row r="106" spans="2:19" ht="124.2" x14ac:dyDescent="0.25">
      <c r="B106" s="48">
        <f>IF(F106&lt;&gt;"",1+MAX($B$22:B105),"")</f>
        <v>42</v>
      </c>
      <c r="C106" s="52" t="s">
        <v>127</v>
      </c>
      <c r="D106" s="8" t="s">
        <v>249</v>
      </c>
      <c r="E106" s="23" t="s">
        <v>48</v>
      </c>
      <c r="F106" s="39">
        <v>432</v>
      </c>
      <c r="G106" s="17">
        <v>4.05</v>
      </c>
      <c r="H106" s="17">
        <f t="shared" si="30"/>
        <v>3.645</v>
      </c>
      <c r="I106" s="17">
        <f t="shared" si="31"/>
        <v>1574.64</v>
      </c>
      <c r="J106" s="15">
        <v>0.11</v>
      </c>
      <c r="K106" s="10">
        <f t="shared" si="32"/>
        <v>47.52</v>
      </c>
      <c r="L106" s="79" t="s">
        <v>233</v>
      </c>
      <c r="M106" s="80">
        <v>48.4</v>
      </c>
      <c r="N106" s="17">
        <f t="shared" si="33"/>
        <v>64.856000000000009</v>
      </c>
      <c r="O106" s="17">
        <f t="shared" si="34"/>
        <v>7.1341600000000014</v>
      </c>
      <c r="P106" s="17">
        <f t="shared" si="29"/>
        <v>3081.9571200000005</v>
      </c>
      <c r="Q106" s="17">
        <f t="shared" si="35"/>
        <v>4656.5971200000004</v>
      </c>
      <c r="R106" s="49"/>
    </row>
    <row r="107" spans="2:19" x14ac:dyDescent="0.25">
      <c r="B107" s="48" t="str">
        <f>IF(F107&lt;&gt;"",1+MAX($B$22:B106),"")</f>
        <v/>
      </c>
      <c r="C107" s="52"/>
      <c r="D107" s="50"/>
      <c r="E107" s="23"/>
      <c r="F107" s="39"/>
      <c r="G107" s="17"/>
      <c r="H107" s="17">
        <f t="shared" si="30"/>
        <v>0</v>
      </c>
      <c r="I107" s="17">
        <f t="shared" si="31"/>
        <v>0</v>
      </c>
      <c r="J107" s="15"/>
      <c r="K107" s="10">
        <f t="shared" si="32"/>
        <v>0</v>
      </c>
      <c r="L107" s="10"/>
      <c r="M107" s="17"/>
      <c r="N107" s="17">
        <f t="shared" si="33"/>
        <v>0</v>
      </c>
      <c r="O107" s="17">
        <f t="shared" si="34"/>
        <v>0</v>
      </c>
      <c r="P107" s="17">
        <f t="shared" si="29"/>
        <v>0</v>
      </c>
      <c r="Q107" s="17">
        <f t="shared" si="35"/>
        <v>0</v>
      </c>
      <c r="R107" s="49"/>
    </row>
    <row r="108" spans="2:19" x14ac:dyDescent="0.25">
      <c r="B108" s="63" t="str">
        <f>IF(F108&lt;&gt;"",1+MAX($B$22:B107),"")</f>
        <v/>
      </c>
      <c r="C108" s="64"/>
      <c r="D108" s="65" t="s">
        <v>58</v>
      </c>
      <c r="E108" s="23"/>
      <c r="F108" s="39"/>
      <c r="G108" s="17"/>
      <c r="H108" s="17">
        <f t="shared" si="30"/>
        <v>0</v>
      </c>
      <c r="I108" s="17">
        <f t="shared" si="31"/>
        <v>0</v>
      </c>
      <c r="J108" s="15"/>
      <c r="K108" s="10">
        <f t="shared" si="32"/>
        <v>0</v>
      </c>
      <c r="L108" s="10"/>
      <c r="M108" s="17"/>
      <c r="N108" s="17">
        <f t="shared" si="33"/>
        <v>0</v>
      </c>
      <c r="O108" s="17">
        <f t="shared" si="34"/>
        <v>0</v>
      </c>
      <c r="P108" s="17">
        <f t="shared" si="29"/>
        <v>0</v>
      </c>
      <c r="Q108" s="17">
        <f t="shared" si="35"/>
        <v>0</v>
      </c>
      <c r="R108" s="49"/>
    </row>
    <row r="109" spans="2:19" x14ac:dyDescent="0.25">
      <c r="B109" s="48">
        <f>IF(F109&lt;&gt;"",1+MAX($B$22:B108),"")</f>
        <v>43</v>
      </c>
      <c r="C109" s="52" t="s">
        <v>118</v>
      </c>
      <c r="D109" s="8" t="s">
        <v>220</v>
      </c>
      <c r="E109" s="23" t="s">
        <v>49</v>
      </c>
      <c r="F109" s="71">
        <f>(17*0.42*1)/27+(16*0.42*0.5)/27</f>
        <v>0.38888888888888884</v>
      </c>
      <c r="G109" s="17">
        <v>310</v>
      </c>
      <c r="H109" s="17">
        <f t="shared" si="30"/>
        <v>279</v>
      </c>
      <c r="I109" s="17">
        <f t="shared" si="31"/>
        <v>108.49999999999999</v>
      </c>
      <c r="J109" s="15">
        <v>5.7300928670223277</v>
      </c>
      <c r="K109" s="10">
        <f t="shared" si="32"/>
        <v>2.2283694482864607</v>
      </c>
      <c r="L109" s="79" t="s">
        <v>224</v>
      </c>
      <c r="M109" s="80">
        <v>50.61</v>
      </c>
      <c r="N109" s="17">
        <f t="shared" si="33"/>
        <v>67.817400000000006</v>
      </c>
      <c r="O109" s="17">
        <f t="shared" si="34"/>
        <v>388.6</v>
      </c>
      <c r="P109" s="17">
        <f t="shared" si="29"/>
        <v>151.12222222222221</v>
      </c>
      <c r="Q109" s="17">
        <f t="shared" si="35"/>
        <v>259.62222222222221</v>
      </c>
      <c r="R109" s="49"/>
      <c r="S109" s="12"/>
    </row>
    <row r="110" spans="2:19" x14ac:dyDescent="0.25">
      <c r="B110" s="48" t="str">
        <f>IF(F110&lt;&gt;"",1+MAX($B$22:B109),"")</f>
        <v/>
      </c>
      <c r="C110" s="52"/>
      <c r="D110" s="8"/>
      <c r="E110" s="23"/>
      <c r="F110" s="39"/>
      <c r="G110" s="17"/>
      <c r="H110" s="17">
        <f t="shared" si="30"/>
        <v>0</v>
      </c>
      <c r="I110" s="17">
        <f t="shared" si="31"/>
        <v>0</v>
      </c>
      <c r="J110" s="15"/>
      <c r="K110" s="10">
        <f t="shared" si="32"/>
        <v>0</v>
      </c>
      <c r="L110" s="10"/>
      <c r="M110" s="17"/>
      <c r="N110" s="17">
        <f t="shared" si="33"/>
        <v>0</v>
      </c>
      <c r="O110" s="17">
        <f t="shared" si="34"/>
        <v>0</v>
      </c>
      <c r="P110" s="17">
        <f t="shared" si="29"/>
        <v>0</v>
      </c>
      <c r="Q110" s="17">
        <f t="shared" si="35"/>
        <v>0</v>
      </c>
      <c r="R110" s="49"/>
    </row>
    <row r="111" spans="2:19" x14ac:dyDescent="0.25">
      <c r="S111" s="12"/>
    </row>
    <row r="112" spans="2:19" x14ac:dyDescent="0.25">
      <c r="S112" s="12"/>
    </row>
    <row r="113" spans="19:19" x14ac:dyDescent="0.25">
      <c r="S113" s="12"/>
    </row>
    <row r="114" spans="19:19" x14ac:dyDescent="0.25">
      <c r="S114" s="12"/>
    </row>
    <row r="115" spans="19:19" x14ac:dyDescent="0.25">
      <c r="S115" s="12"/>
    </row>
    <row r="116" spans="19:19" x14ac:dyDescent="0.25">
      <c r="S116" s="12"/>
    </row>
    <row r="117" spans="19:19" x14ac:dyDescent="0.25">
      <c r="S117" s="12"/>
    </row>
    <row r="118" spans="19:19" x14ac:dyDescent="0.25">
      <c r="S118" s="12"/>
    </row>
    <row r="119" spans="19:19" x14ac:dyDescent="0.25">
      <c r="S119" s="12"/>
    </row>
    <row r="120" spans="19:19" x14ac:dyDescent="0.25">
      <c r="S120" s="12"/>
    </row>
    <row r="121" spans="19:19" x14ac:dyDescent="0.25">
      <c r="S121" s="12"/>
    </row>
    <row r="122" spans="19:19" x14ac:dyDescent="0.25">
      <c r="S122" s="12"/>
    </row>
    <row r="123" spans="19:19" x14ac:dyDescent="0.25">
      <c r="S123" s="12"/>
    </row>
    <row r="124" spans="19:19" x14ac:dyDescent="0.25">
      <c r="S124" s="12"/>
    </row>
    <row r="125" spans="19:19" x14ac:dyDescent="0.25">
      <c r="S125" s="12"/>
    </row>
    <row r="126" spans="19:19" x14ac:dyDescent="0.25">
      <c r="S126" s="12"/>
    </row>
    <row r="127" spans="19:19" x14ac:dyDescent="0.25">
      <c r="S127" s="12"/>
    </row>
    <row r="128" spans="19:19" x14ac:dyDescent="0.25">
      <c r="S128" s="12"/>
    </row>
    <row r="129" spans="19:19" x14ac:dyDescent="0.25">
      <c r="S129" s="12"/>
    </row>
    <row r="130" spans="19:19" x14ac:dyDescent="0.25">
      <c r="S130" s="12"/>
    </row>
    <row r="131" spans="19:19" x14ac:dyDescent="0.25">
      <c r="S131" s="12"/>
    </row>
    <row r="132" spans="19:19" x14ac:dyDescent="0.25">
      <c r="S132" s="12"/>
    </row>
    <row r="133" spans="19:19" x14ac:dyDescent="0.25">
      <c r="S133" s="12"/>
    </row>
    <row r="134" spans="19:19" x14ac:dyDescent="0.25">
      <c r="S134" s="12"/>
    </row>
    <row r="135" spans="19:19" x14ac:dyDescent="0.25">
      <c r="S135" s="12"/>
    </row>
    <row r="136" spans="19:19" x14ac:dyDescent="0.25">
      <c r="S136" s="12"/>
    </row>
    <row r="137" spans="19:19" x14ac:dyDescent="0.25">
      <c r="S137" s="12"/>
    </row>
  </sheetData>
  <mergeCells count="43">
    <mergeCell ref="B2:R2"/>
    <mergeCell ref="B18:B19"/>
    <mergeCell ref="E18:E19"/>
    <mergeCell ref="D18:D19"/>
    <mergeCell ref="G18:I18"/>
    <mergeCell ref="I3:R3"/>
    <mergeCell ref="R18:R19"/>
    <mergeCell ref="J18:P18"/>
    <mergeCell ref="Q18:Q19"/>
    <mergeCell ref="C18:C19"/>
    <mergeCell ref="I5:P5"/>
    <mergeCell ref="I6:P6"/>
    <mergeCell ref="I4:R4"/>
    <mergeCell ref="D16:D17"/>
    <mergeCell ref="B3:H3"/>
    <mergeCell ref="B4:H4"/>
    <mergeCell ref="E21:G21"/>
    <mergeCell ref="K21:N21"/>
    <mergeCell ref="F18:F19"/>
    <mergeCell ref="C96:C97"/>
    <mergeCell ref="C28:C32"/>
    <mergeCell ref="C38:C39"/>
    <mergeCell ref="E25:G25"/>
    <mergeCell ref="K25:N25"/>
    <mergeCell ref="C52:C53"/>
    <mergeCell ref="C59:C60"/>
    <mergeCell ref="C72:C82"/>
    <mergeCell ref="C88:C89"/>
    <mergeCell ref="C92:C93"/>
    <mergeCell ref="I7:P7"/>
    <mergeCell ref="B16:C17"/>
    <mergeCell ref="I8:P8"/>
    <mergeCell ref="I9:P9"/>
    <mergeCell ref="I11:P11"/>
    <mergeCell ref="I12:P12"/>
    <mergeCell ref="I13:P13"/>
    <mergeCell ref="I14:P14"/>
    <mergeCell ref="E16:I17"/>
    <mergeCell ref="J16:R17"/>
    <mergeCell ref="J15:R15"/>
    <mergeCell ref="E15:I15"/>
    <mergeCell ref="I10:P10"/>
    <mergeCell ref="B15:C15"/>
  </mergeCells>
  <phoneticPr fontId="0" type="noConversion"/>
  <printOptions horizontalCentered="1"/>
  <pageMargins left="0.25" right="0.25" top="0.375" bottom="0.375" header="0.25" footer="0.25"/>
  <pageSetup paperSize="9" scale="64" fitToHeight="0" orientation="landscape" horizontalDpi="300" verticalDpi="300" r:id="rId1"/>
  <headerFooter alignWithMargins="0">
    <oddFooter>&amp;R&amp;"Arial,Bold"&amp;P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70C0"/>
    <pageSetUpPr fitToPage="1"/>
  </sheetPr>
  <dimension ref="B2:AJ231"/>
  <sheetViews>
    <sheetView showGridLines="0" showZeros="0" view="pageBreakPreview" zoomScale="90" zoomScaleNormal="100" zoomScaleSheetLayoutView="90" workbookViewId="0">
      <selection activeCell="I14" sqref="I14:P14"/>
    </sheetView>
  </sheetViews>
  <sheetFormatPr defaultColWidth="9.109375" defaultRowHeight="13.8" x14ac:dyDescent="0.25"/>
  <cols>
    <col min="1" max="1" width="1" style="11" customWidth="1"/>
    <col min="2" max="2" width="6.6640625" style="11" customWidth="1"/>
    <col min="3" max="3" width="12.6640625" style="11" customWidth="1"/>
    <col min="4" max="4" width="60.6640625" style="1" customWidth="1"/>
    <col min="5" max="6" width="12.6640625" style="11" customWidth="1"/>
    <col min="7" max="7" width="12.6640625" style="14" hidden="1" customWidth="1"/>
    <col min="8" max="10" width="12.6640625" style="14" customWidth="1"/>
    <col min="11" max="11" width="12.6640625" style="11" customWidth="1"/>
    <col min="12" max="12" width="12.6640625" style="11" hidden="1" customWidth="1"/>
    <col min="13" max="13" width="12.6640625" style="14" hidden="1" customWidth="1"/>
    <col min="14" max="14" width="12.6640625" style="14" customWidth="1"/>
    <col min="15" max="15" width="12.6640625" style="11" customWidth="1"/>
    <col min="16" max="18" width="12.6640625" style="14" customWidth="1"/>
    <col min="19" max="19" width="12.6640625" style="11" customWidth="1"/>
    <col min="20" max="21" width="12.6640625" style="11" hidden="1" customWidth="1"/>
    <col min="22" max="16384" width="9.109375" style="11"/>
  </cols>
  <sheetData>
    <row r="2" spans="2:26" ht="21.9" customHeight="1" x14ac:dyDescent="0.25">
      <c r="B2" s="132" t="s">
        <v>0</v>
      </c>
      <c r="C2" s="132"/>
      <c r="D2" s="132"/>
      <c r="E2" s="132"/>
      <c r="F2" s="132"/>
      <c r="G2" s="132"/>
      <c r="H2" s="132"/>
      <c r="I2" s="132"/>
      <c r="J2" s="132"/>
      <c r="K2" s="132"/>
      <c r="L2" s="132"/>
      <c r="M2" s="132"/>
      <c r="N2" s="132"/>
      <c r="O2" s="132"/>
      <c r="P2" s="132"/>
      <c r="Q2" s="132"/>
      <c r="R2" s="132"/>
      <c r="T2" s="25">
        <f>Concrete!T2</f>
        <v>0.9</v>
      </c>
      <c r="U2" s="25">
        <f>Concrete!U2</f>
        <v>1.34</v>
      </c>
    </row>
    <row r="3" spans="2:26" x14ac:dyDescent="0.25">
      <c r="B3" s="115" t="s">
        <v>2</v>
      </c>
      <c r="C3" s="116"/>
      <c r="D3" s="116"/>
      <c r="E3" s="116"/>
      <c r="F3" s="116"/>
      <c r="G3" s="116"/>
      <c r="H3" s="127"/>
      <c r="I3" s="135" t="s">
        <v>3</v>
      </c>
      <c r="J3" s="135"/>
      <c r="K3" s="135"/>
      <c r="L3" s="135"/>
      <c r="M3" s="135"/>
      <c r="N3" s="135"/>
      <c r="O3" s="135"/>
      <c r="P3" s="135"/>
      <c r="Q3" s="135"/>
      <c r="R3" s="135"/>
    </row>
    <row r="4" spans="2:26" ht="12.6" customHeight="1" x14ac:dyDescent="0.25">
      <c r="B4" s="109"/>
      <c r="C4" s="110"/>
      <c r="D4" s="110"/>
      <c r="E4" s="110"/>
      <c r="F4" s="110"/>
      <c r="G4" s="110"/>
      <c r="H4" s="111"/>
      <c r="I4" s="138"/>
      <c r="J4" s="138"/>
      <c r="K4" s="138"/>
      <c r="L4" s="138"/>
      <c r="M4" s="138"/>
      <c r="N4" s="138"/>
      <c r="O4" s="138"/>
      <c r="P4" s="138"/>
      <c r="Q4" s="138"/>
      <c r="R4" s="138"/>
    </row>
    <row r="5" spans="2:26" ht="12.6" customHeight="1" x14ac:dyDescent="0.25">
      <c r="B5" s="40"/>
      <c r="C5" s="18"/>
      <c r="D5" s="18"/>
      <c r="E5" s="18"/>
      <c r="F5" s="18"/>
      <c r="G5" s="18"/>
      <c r="H5" s="19"/>
      <c r="I5" s="125" t="s">
        <v>18</v>
      </c>
      <c r="J5" s="125"/>
      <c r="K5" s="125"/>
      <c r="L5" s="125"/>
      <c r="M5" s="125"/>
      <c r="N5" s="125"/>
      <c r="O5" s="125"/>
      <c r="P5" s="125"/>
      <c r="Q5" s="9"/>
      <c r="R5" s="78">
        <f>SUM(I22:I192)</f>
        <v>126072.81773123698</v>
      </c>
    </row>
    <row r="6" spans="2:26" ht="12.6" customHeight="1" x14ac:dyDescent="0.25">
      <c r="B6" s="41"/>
      <c r="D6" s="11"/>
      <c r="G6" s="11"/>
      <c r="H6" s="20"/>
      <c r="I6" s="125" t="s">
        <v>19</v>
      </c>
      <c r="J6" s="125"/>
      <c r="K6" s="125"/>
      <c r="L6" s="125"/>
      <c r="M6" s="125"/>
      <c r="N6" s="125"/>
      <c r="O6" s="125"/>
      <c r="P6" s="125"/>
      <c r="Q6" s="9"/>
      <c r="R6" s="78">
        <f>SUM(P22:P192)</f>
        <v>520130.3086721765</v>
      </c>
    </row>
    <row r="7" spans="2:26" ht="12.6" customHeight="1" x14ac:dyDescent="0.25">
      <c r="B7" s="41"/>
      <c r="G7" s="11"/>
      <c r="H7" s="20"/>
      <c r="I7" s="125" t="s">
        <v>20</v>
      </c>
      <c r="J7" s="125"/>
      <c r="K7" s="125"/>
      <c r="L7" s="125"/>
      <c r="M7" s="125"/>
      <c r="N7" s="125"/>
      <c r="O7" s="125"/>
      <c r="P7" s="125"/>
      <c r="Q7" s="5"/>
      <c r="R7" s="78">
        <f>SUM(R5:R6)</f>
        <v>646203.12640341348</v>
      </c>
      <c r="S7" s="83"/>
      <c r="T7" s="37"/>
      <c r="U7" s="37"/>
      <c r="V7" s="37"/>
      <c r="W7" s="37"/>
      <c r="X7" s="37"/>
      <c r="Z7" s="2"/>
    </row>
    <row r="8" spans="2:26" ht="12.6" customHeight="1" x14ac:dyDescent="0.25">
      <c r="B8" s="41"/>
      <c r="G8" s="11"/>
      <c r="H8" s="20"/>
      <c r="I8" s="125" t="s">
        <v>21</v>
      </c>
      <c r="J8" s="125"/>
      <c r="K8" s="125"/>
      <c r="L8" s="125"/>
      <c r="M8" s="125"/>
      <c r="N8" s="125"/>
      <c r="O8" s="125"/>
      <c r="P8" s="125"/>
      <c r="Q8" s="3">
        <v>6.25E-2</v>
      </c>
      <c r="R8" s="78">
        <f>R5*Q8</f>
        <v>7879.5511082023113</v>
      </c>
      <c r="Z8" s="2"/>
    </row>
    <row r="9" spans="2:26" ht="12.6" customHeight="1" x14ac:dyDescent="0.25">
      <c r="B9" s="41"/>
      <c r="G9" s="11"/>
      <c r="H9" s="20"/>
      <c r="I9" s="125" t="s">
        <v>22</v>
      </c>
      <c r="J9" s="125"/>
      <c r="K9" s="125"/>
      <c r="L9" s="125"/>
      <c r="M9" s="125"/>
      <c r="N9" s="125"/>
      <c r="O9" s="125"/>
      <c r="P9" s="125"/>
      <c r="Q9" s="3">
        <v>0.1</v>
      </c>
      <c r="R9" s="78">
        <f>R6*Q9</f>
        <v>52013.030867217654</v>
      </c>
      <c r="T9" s="37"/>
      <c r="U9" s="37"/>
      <c r="V9" s="37"/>
      <c r="W9" s="37"/>
      <c r="X9" s="37"/>
      <c r="Y9" s="4"/>
      <c r="Z9" s="2"/>
    </row>
    <row r="10" spans="2:26" ht="12.6" customHeight="1" x14ac:dyDescent="0.25">
      <c r="B10" s="41"/>
      <c r="D10" s="36"/>
      <c r="G10" s="11"/>
      <c r="H10" s="20"/>
      <c r="I10" s="125" t="s">
        <v>28</v>
      </c>
      <c r="J10" s="125"/>
      <c r="K10" s="125"/>
      <c r="L10" s="125"/>
      <c r="M10" s="125"/>
      <c r="N10" s="125"/>
      <c r="O10" s="125"/>
      <c r="P10" s="125"/>
      <c r="Q10" s="3">
        <v>0.25</v>
      </c>
      <c r="R10" s="78">
        <f>R7*Q10</f>
        <v>161550.78160085337</v>
      </c>
      <c r="T10" s="37"/>
      <c r="U10" s="37"/>
      <c r="V10" s="37"/>
      <c r="W10" s="37"/>
      <c r="X10" s="37"/>
      <c r="Y10" s="4"/>
      <c r="Z10" s="2"/>
    </row>
    <row r="11" spans="2:26" ht="12.6" customHeight="1" x14ac:dyDescent="0.25">
      <c r="B11" s="41"/>
      <c r="D11" s="36"/>
      <c r="G11" s="11"/>
      <c r="H11" s="20"/>
      <c r="I11" s="125" t="s">
        <v>23</v>
      </c>
      <c r="J11" s="125"/>
      <c r="K11" s="125"/>
      <c r="L11" s="125"/>
      <c r="M11" s="125"/>
      <c r="N11" s="125"/>
      <c r="O11" s="125"/>
      <c r="P11" s="125"/>
      <c r="Q11" s="3">
        <v>0.02</v>
      </c>
      <c r="R11" s="78">
        <f>SUM(R7:R10)*Q11</f>
        <v>17352.929799593738</v>
      </c>
      <c r="T11" s="37"/>
      <c r="U11" s="37"/>
      <c r="V11" s="37"/>
      <c r="W11" s="37"/>
      <c r="X11" s="37"/>
      <c r="Y11" s="4"/>
      <c r="Z11" s="2"/>
    </row>
    <row r="12" spans="2:26" ht="12.6" customHeight="1" x14ac:dyDescent="0.25">
      <c r="B12" s="41"/>
      <c r="G12" s="11"/>
      <c r="H12" s="20"/>
      <c r="I12" s="125" t="s">
        <v>24</v>
      </c>
      <c r="J12" s="125"/>
      <c r="K12" s="125"/>
      <c r="L12" s="125"/>
      <c r="M12" s="125"/>
      <c r="N12" s="125"/>
      <c r="O12" s="125"/>
      <c r="P12" s="125"/>
      <c r="Q12" s="3">
        <v>0.05</v>
      </c>
      <c r="R12" s="78">
        <f>R7*Q12</f>
        <v>32310.156320170674</v>
      </c>
      <c r="S12" s="59"/>
      <c r="T12" s="37"/>
      <c r="U12" s="37"/>
      <c r="V12" s="37"/>
      <c r="W12" s="37"/>
      <c r="X12" s="37"/>
      <c r="Y12" s="4"/>
      <c r="Z12" s="2"/>
    </row>
    <row r="13" spans="2:26" x14ac:dyDescent="0.25">
      <c r="B13" s="42"/>
      <c r="C13" s="21"/>
      <c r="D13" s="21"/>
      <c r="E13" s="21"/>
      <c r="F13" s="21"/>
      <c r="G13" s="21"/>
      <c r="H13" s="22"/>
      <c r="I13" s="126" t="s">
        <v>25</v>
      </c>
      <c r="J13" s="126"/>
      <c r="K13" s="126"/>
      <c r="L13" s="126"/>
      <c r="M13" s="126"/>
      <c r="N13" s="126"/>
      <c r="O13" s="126"/>
      <c r="P13" s="126"/>
      <c r="Q13" s="74"/>
      <c r="R13" s="43">
        <f>SUM(R7:R12)</f>
        <v>917309.5760994514</v>
      </c>
      <c r="T13" s="37"/>
      <c r="U13" s="37"/>
      <c r="V13" s="37"/>
      <c r="W13" s="37"/>
      <c r="X13" s="37"/>
      <c r="Z13" s="2"/>
    </row>
    <row r="14" spans="2:26" x14ac:dyDescent="0.25">
      <c r="B14" s="44"/>
      <c r="C14" s="37"/>
      <c r="D14" s="37"/>
      <c r="E14" s="37"/>
      <c r="F14" s="37"/>
      <c r="G14" s="37"/>
      <c r="H14" s="38"/>
      <c r="I14" s="126" t="s">
        <v>29</v>
      </c>
      <c r="J14" s="126"/>
      <c r="K14" s="126"/>
      <c r="L14" s="126"/>
      <c r="M14" s="126"/>
      <c r="N14" s="126"/>
      <c r="O14" s="126"/>
      <c r="P14" s="126"/>
      <c r="Q14" s="74"/>
      <c r="R14" s="45">
        <f>SUM(K22:K192)</f>
        <v>7747.1721917760897</v>
      </c>
    </row>
    <row r="15" spans="2:26" ht="12.75" customHeight="1" x14ac:dyDescent="0.25">
      <c r="B15" s="115" t="s">
        <v>27</v>
      </c>
      <c r="C15" s="116"/>
      <c r="D15" s="16" t="s">
        <v>36</v>
      </c>
      <c r="E15" s="115" t="s">
        <v>26</v>
      </c>
      <c r="F15" s="116"/>
      <c r="G15" s="116"/>
      <c r="H15" s="116"/>
      <c r="I15" s="116"/>
      <c r="J15" s="115" t="s">
        <v>17</v>
      </c>
      <c r="K15" s="116"/>
      <c r="L15" s="116"/>
      <c r="M15" s="116"/>
      <c r="N15" s="116"/>
      <c r="O15" s="116"/>
      <c r="P15" s="116"/>
      <c r="Q15" s="116"/>
      <c r="R15" s="127"/>
    </row>
    <row r="16" spans="2:26" ht="12.75" customHeight="1" x14ac:dyDescent="0.25">
      <c r="B16" s="101"/>
      <c r="C16" s="102"/>
      <c r="D16" s="123"/>
      <c r="E16" s="120"/>
      <c r="F16" s="102"/>
      <c r="G16" s="102"/>
      <c r="H16" s="102"/>
      <c r="I16" s="121"/>
      <c r="J16" s="120"/>
      <c r="K16" s="102"/>
      <c r="L16" s="102"/>
      <c r="M16" s="102"/>
      <c r="N16" s="102"/>
      <c r="O16" s="102"/>
      <c r="P16" s="102"/>
      <c r="Q16" s="102"/>
      <c r="R16" s="121"/>
    </row>
    <row r="17" spans="2:36" x14ac:dyDescent="0.25">
      <c r="B17" s="103"/>
      <c r="C17" s="104"/>
      <c r="D17" s="124"/>
      <c r="E17" s="103"/>
      <c r="F17" s="104"/>
      <c r="G17" s="104"/>
      <c r="H17" s="104"/>
      <c r="I17" s="122"/>
      <c r="J17" s="103"/>
      <c r="K17" s="104"/>
      <c r="L17" s="104"/>
      <c r="M17" s="104"/>
      <c r="N17" s="104"/>
      <c r="O17" s="104"/>
      <c r="P17" s="104"/>
      <c r="Q17" s="104"/>
      <c r="R17" s="122"/>
    </row>
    <row r="18" spans="2:36" ht="12.75" customHeight="1" x14ac:dyDescent="0.25">
      <c r="B18" s="133" t="s">
        <v>5</v>
      </c>
      <c r="C18" s="133" t="s">
        <v>33</v>
      </c>
      <c r="D18" s="130" t="s">
        <v>1</v>
      </c>
      <c r="E18" s="133" t="s">
        <v>6</v>
      </c>
      <c r="F18" s="130" t="s">
        <v>14</v>
      </c>
      <c r="G18" s="130" t="s">
        <v>13</v>
      </c>
      <c r="H18" s="130"/>
      <c r="I18" s="163"/>
      <c r="J18" s="137" t="s">
        <v>12</v>
      </c>
      <c r="K18" s="137"/>
      <c r="L18" s="137"/>
      <c r="M18" s="137"/>
      <c r="N18" s="137"/>
      <c r="O18" s="163"/>
      <c r="P18" s="163"/>
      <c r="Q18" s="136" t="s">
        <v>4</v>
      </c>
      <c r="R18" s="136" t="s">
        <v>41</v>
      </c>
    </row>
    <row r="19" spans="2:36" ht="27.75" customHeight="1" x14ac:dyDescent="0.25">
      <c r="B19" s="130"/>
      <c r="C19" s="133"/>
      <c r="D19" s="130"/>
      <c r="E19" s="130"/>
      <c r="F19" s="130"/>
      <c r="G19" s="28" t="s">
        <v>11</v>
      </c>
      <c r="H19" s="62" t="s">
        <v>11</v>
      </c>
      <c r="I19" s="62" t="s">
        <v>10</v>
      </c>
      <c r="J19" s="61" t="s">
        <v>15</v>
      </c>
      <c r="K19" s="61" t="s">
        <v>7</v>
      </c>
      <c r="L19" s="29" t="s">
        <v>34</v>
      </c>
      <c r="M19" s="29" t="s">
        <v>35</v>
      </c>
      <c r="N19" s="61" t="s">
        <v>35</v>
      </c>
      <c r="O19" s="61" t="s">
        <v>11</v>
      </c>
      <c r="P19" s="62" t="s">
        <v>10</v>
      </c>
      <c r="Q19" s="137"/>
      <c r="R19" s="137"/>
      <c r="S19" s="12"/>
    </row>
    <row r="20" spans="2:36" s="12" customFormat="1" x14ac:dyDescent="0.25">
      <c r="B20" s="60" t="str">
        <f>IF(F20&lt;&gt;"",1+MAX($B$2:B19),"")</f>
        <v/>
      </c>
      <c r="C20" s="30"/>
      <c r="D20" s="31"/>
      <c r="E20" s="24"/>
      <c r="F20" s="67"/>
      <c r="G20" s="33"/>
      <c r="H20" s="33"/>
      <c r="I20" s="34"/>
      <c r="J20" s="34"/>
      <c r="K20" s="24"/>
      <c r="L20" s="24"/>
      <c r="M20" s="34"/>
      <c r="N20" s="34"/>
      <c r="O20" s="33"/>
      <c r="P20" s="34"/>
      <c r="Q20" s="35"/>
      <c r="R20" s="46"/>
    </row>
    <row r="21" spans="2:36" s="12" customFormat="1" x14ac:dyDescent="0.25">
      <c r="B21" s="13" t="str">
        <f>IF(F21&lt;&gt;"",1+MAX($B$2:B20),"")</f>
        <v/>
      </c>
      <c r="C21" s="13" t="s">
        <v>30</v>
      </c>
      <c r="D21" s="6" t="s">
        <v>8</v>
      </c>
      <c r="E21" s="128" t="s">
        <v>37</v>
      </c>
      <c r="F21" s="128"/>
      <c r="G21" s="128"/>
      <c r="H21" s="51">
        <f>SUM(I22:I24)</f>
        <v>0</v>
      </c>
      <c r="I21" s="7">
        <f t="shared" ref="I21:I25" si="0">F21*H21</f>
        <v>0</v>
      </c>
      <c r="J21" s="7"/>
      <c r="K21" s="129" t="s">
        <v>38</v>
      </c>
      <c r="L21" s="129"/>
      <c r="M21" s="129"/>
      <c r="N21" s="129"/>
      <c r="O21" s="51">
        <f>SUM(P22:P24)</f>
        <v>47500</v>
      </c>
      <c r="P21" s="7">
        <f t="shared" ref="P21" si="1">F21*O21</f>
        <v>0</v>
      </c>
      <c r="Q21" s="47">
        <f>SUM(Q22:Q24)</f>
        <v>47500</v>
      </c>
      <c r="R21" s="47">
        <f>(Q21)+(H21*$Q$8)+(O21*$Q$9)+(Q21*$Q$10)+($Q$11*((Q21)+(H21*$Q$8)+(O21*$Q$9)+(Q21*$Q$10)))+(Q21*$Q$12)</f>
        <v>67782.5</v>
      </c>
    </row>
    <row r="22" spans="2:36" x14ac:dyDescent="0.25">
      <c r="B22" s="48" t="str">
        <f>IF(F22&lt;&gt;"",1+MAX($B21:B$22),"")</f>
        <v/>
      </c>
      <c r="C22" s="52"/>
      <c r="D22" s="8"/>
      <c r="E22" s="53"/>
      <c r="F22" s="68"/>
      <c r="G22" s="17"/>
      <c r="H22" s="17">
        <f>G22*$T$2</f>
        <v>0</v>
      </c>
      <c r="I22" s="17">
        <f t="shared" si="0"/>
        <v>0</v>
      </c>
      <c r="J22" s="15"/>
      <c r="K22" s="10">
        <f>F22*J22</f>
        <v>0</v>
      </c>
      <c r="L22" s="10"/>
      <c r="M22" s="17"/>
      <c r="N22" s="17">
        <f>M22*$U$2</f>
        <v>0</v>
      </c>
      <c r="O22" s="17">
        <f>J22*N22</f>
        <v>0</v>
      </c>
      <c r="P22" s="17">
        <f>F22*O22</f>
        <v>0</v>
      </c>
      <c r="Q22" s="17">
        <f t="shared" ref="Q22" si="2">I22+P22</f>
        <v>0</v>
      </c>
      <c r="R22" s="49"/>
      <c r="S22" s="12"/>
    </row>
    <row r="23" spans="2:36" s="12" customFormat="1" x14ac:dyDescent="0.25">
      <c r="B23" s="48">
        <f>IF(F23&lt;&gt;"",1+MAX($B$22:B22),"")</f>
        <v>1</v>
      </c>
      <c r="C23" s="52"/>
      <c r="D23" s="8" t="s">
        <v>59</v>
      </c>
      <c r="E23" s="23" t="s">
        <v>60</v>
      </c>
      <c r="F23" s="39">
        <v>1</v>
      </c>
      <c r="G23" s="75"/>
      <c r="H23" s="75">
        <f t="shared" ref="H23:H24" si="3">G23*$T$2</f>
        <v>0</v>
      </c>
      <c r="I23" s="75">
        <f t="shared" ref="I23:I24" si="4">F23*H23</f>
        <v>0</v>
      </c>
      <c r="J23" s="76"/>
      <c r="K23" s="77">
        <f t="shared" ref="K23:K24" si="5">F23*J23</f>
        <v>0</v>
      </c>
      <c r="L23" s="77"/>
      <c r="M23" s="75"/>
      <c r="N23" s="75">
        <f t="shared" ref="N23:N24" si="6">M23*$U$2</f>
        <v>0</v>
      </c>
      <c r="O23" s="17">
        <v>47500</v>
      </c>
      <c r="P23" s="17">
        <f t="shared" ref="P23:P24" si="7">F23*O23</f>
        <v>47500</v>
      </c>
      <c r="Q23" s="17">
        <f t="shared" ref="Q23:Q24" si="8">I23+P23</f>
        <v>47500</v>
      </c>
      <c r="R23" s="49"/>
    </row>
    <row r="24" spans="2:36" x14ac:dyDescent="0.25">
      <c r="B24" s="48" t="str">
        <f>IF(F24&lt;&gt;"",1+MAX($B$22:B23),"")</f>
        <v/>
      </c>
      <c r="C24" s="52"/>
      <c r="D24" s="8"/>
      <c r="E24" s="53"/>
      <c r="F24" s="69"/>
      <c r="G24" s="17"/>
      <c r="H24" s="17">
        <f t="shared" si="3"/>
        <v>0</v>
      </c>
      <c r="I24" s="17">
        <f t="shared" si="4"/>
        <v>0</v>
      </c>
      <c r="J24" s="15"/>
      <c r="K24" s="10">
        <f t="shared" si="5"/>
        <v>0</v>
      </c>
      <c r="L24" s="10"/>
      <c r="M24" s="17"/>
      <c r="N24" s="17">
        <f t="shared" si="6"/>
        <v>0</v>
      </c>
      <c r="O24" s="17">
        <f t="shared" ref="O24" si="9">J24*N24</f>
        <v>0</v>
      </c>
      <c r="P24" s="17">
        <f t="shared" si="7"/>
        <v>0</v>
      </c>
      <c r="Q24" s="17">
        <f t="shared" si="8"/>
        <v>0</v>
      </c>
      <c r="R24" s="49"/>
    </row>
    <row r="25" spans="2:36" s="12" customFormat="1" ht="12.75" customHeight="1" x14ac:dyDescent="0.25">
      <c r="B25" s="13" t="str">
        <f>IF(F25&lt;&gt;"",1+MAX($B$22:B24),"")</f>
        <v/>
      </c>
      <c r="C25" s="13" t="s">
        <v>32</v>
      </c>
      <c r="D25" s="6" t="s">
        <v>16</v>
      </c>
      <c r="E25" s="128" t="s">
        <v>37</v>
      </c>
      <c r="F25" s="128"/>
      <c r="G25" s="128"/>
      <c r="H25" s="51">
        <f>SUM(I26:I138)</f>
        <v>103711.737231237</v>
      </c>
      <c r="I25" s="7">
        <f t="shared" si="0"/>
        <v>0</v>
      </c>
      <c r="J25" s="7"/>
      <c r="K25" s="129" t="s">
        <v>38</v>
      </c>
      <c r="L25" s="129"/>
      <c r="M25" s="129"/>
      <c r="N25" s="129"/>
      <c r="O25" s="51">
        <f>SUM(P26:P138)</f>
        <v>443819.45950022864</v>
      </c>
      <c r="P25" s="7">
        <f t="shared" ref="P25:P27" si="10">F25*O25</f>
        <v>0</v>
      </c>
      <c r="Q25" s="47">
        <f>SUM(Q26:Q138)</f>
        <v>547531.19673146564</v>
      </c>
      <c r="R25" s="47">
        <f>(Q25)+(H25*$Q$8)+(O25*$Q$9)+(Q25*$Q$10)+($Q$11*((Q25)+(H25*$Q$8)+(O25*$Q$9)+(Q25*$Q$10)))+(Q25*$Q$12)</f>
        <v>777360.04378670675</v>
      </c>
      <c r="T25" s="11"/>
      <c r="U25" s="11"/>
      <c r="V25" s="11"/>
      <c r="W25" s="11"/>
      <c r="X25" s="11"/>
      <c r="Y25" s="11"/>
      <c r="Z25" s="11"/>
      <c r="AA25" s="11"/>
      <c r="AB25" s="11"/>
      <c r="AC25" s="11"/>
      <c r="AD25" s="11"/>
      <c r="AE25" s="11"/>
      <c r="AF25" s="11"/>
      <c r="AG25" s="11"/>
      <c r="AH25" s="11"/>
      <c r="AI25" s="11"/>
      <c r="AJ25" s="11"/>
    </row>
    <row r="26" spans="2:36" x14ac:dyDescent="0.25">
      <c r="B26" s="48" t="str">
        <f>IF(F26&lt;&gt;"",1+MAX($B$22:B25),"")</f>
        <v/>
      </c>
      <c r="C26" s="52"/>
      <c r="D26" s="8"/>
      <c r="E26" s="53"/>
      <c r="F26" s="69"/>
      <c r="G26" s="17"/>
      <c r="H26" s="17">
        <f t="shared" ref="H26:H98" si="11">G26*$T$2</f>
        <v>0</v>
      </c>
      <c r="I26" s="17">
        <f t="shared" ref="I26:I98" si="12">F26*H26</f>
        <v>0</v>
      </c>
      <c r="J26" s="15"/>
      <c r="K26" s="10">
        <f t="shared" ref="K26:K98" si="13">F26*J26</f>
        <v>0</v>
      </c>
      <c r="L26" s="10"/>
      <c r="M26" s="17"/>
      <c r="N26" s="17">
        <f t="shared" ref="N26:N27" si="14">M26*$U$2</f>
        <v>0</v>
      </c>
      <c r="O26" s="17">
        <f t="shared" ref="O26:O27" si="15">J26*N26</f>
        <v>0</v>
      </c>
      <c r="P26" s="17">
        <f t="shared" si="10"/>
        <v>0</v>
      </c>
      <c r="Q26" s="17">
        <f t="shared" ref="Q26:Q27" si="16">I26+P26</f>
        <v>0</v>
      </c>
      <c r="R26" s="49"/>
      <c r="S26" s="12"/>
    </row>
    <row r="27" spans="2:36" x14ac:dyDescent="0.25">
      <c r="B27" s="63" t="str">
        <f>IF(F27&lt;&gt;"",1+MAX($B$22:B26),"")</f>
        <v/>
      </c>
      <c r="C27" s="64"/>
      <c r="D27" s="65" t="s">
        <v>213</v>
      </c>
      <c r="E27" s="23"/>
      <c r="F27" s="39"/>
      <c r="G27" s="17"/>
      <c r="H27" s="17">
        <f t="shared" si="11"/>
        <v>0</v>
      </c>
      <c r="I27" s="17">
        <f t="shared" si="12"/>
        <v>0</v>
      </c>
      <c r="J27" s="15"/>
      <c r="K27" s="10">
        <f t="shared" si="13"/>
        <v>0</v>
      </c>
      <c r="L27" s="10"/>
      <c r="M27" s="17"/>
      <c r="N27" s="17">
        <f t="shared" si="14"/>
        <v>0</v>
      </c>
      <c r="O27" s="17">
        <f t="shared" si="15"/>
        <v>0</v>
      </c>
      <c r="P27" s="17">
        <f t="shared" si="10"/>
        <v>0</v>
      </c>
      <c r="Q27" s="17">
        <f t="shared" si="16"/>
        <v>0</v>
      </c>
      <c r="R27" s="49"/>
    </row>
    <row r="28" spans="2:36" ht="27.6" x14ac:dyDescent="0.25">
      <c r="B28" s="48">
        <f>IF(F28&lt;&gt;"",1+MAX($B$22:B27),"")</f>
        <v>2</v>
      </c>
      <c r="C28" s="52" t="s">
        <v>61</v>
      </c>
      <c r="D28" s="8" t="s">
        <v>110</v>
      </c>
      <c r="E28" s="23" t="s">
        <v>48</v>
      </c>
      <c r="F28" s="39">
        <v>12440</v>
      </c>
      <c r="G28" s="17">
        <v>1.1499999999999999</v>
      </c>
      <c r="H28" s="17">
        <f t="shared" si="11"/>
        <v>1.0349999999999999</v>
      </c>
      <c r="I28" s="17">
        <f t="shared" si="12"/>
        <v>12875.4</v>
      </c>
      <c r="J28" s="15">
        <v>2.1999999999999999E-2</v>
      </c>
      <c r="K28" s="10">
        <f t="shared" si="13"/>
        <v>273.68</v>
      </c>
      <c r="L28" s="79" t="s">
        <v>230</v>
      </c>
      <c r="M28" s="80">
        <v>42.1</v>
      </c>
      <c r="N28" s="17">
        <f t="shared" ref="N28:N100" si="17">M28*$U$2</f>
        <v>56.414000000000009</v>
      </c>
      <c r="O28" s="17">
        <f t="shared" ref="O28:O100" si="18">J28*N28</f>
        <v>1.2411080000000001</v>
      </c>
      <c r="P28" s="17">
        <f t="shared" ref="P28:P100" si="19">F28*O28</f>
        <v>15439.383520000001</v>
      </c>
      <c r="Q28" s="17">
        <f t="shared" ref="Q28:Q100" si="20">I28+P28</f>
        <v>28314.783520000001</v>
      </c>
      <c r="R28" s="49"/>
    </row>
    <row r="29" spans="2:36" x14ac:dyDescent="0.25">
      <c r="B29" s="48" t="str">
        <f>IF(F29&lt;&gt;"",1+MAX($B$22:B28),"")</f>
        <v/>
      </c>
      <c r="C29" s="52"/>
      <c r="D29" s="8"/>
      <c r="E29" s="23"/>
      <c r="F29" s="39"/>
      <c r="G29" s="17"/>
      <c r="H29" s="17">
        <f t="shared" si="11"/>
        <v>0</v>
      </c>
      <c r="I29" s="17">
        <f t="shared" si="12"/>
        <v>0</v>
      </c>
      <c r="J29" s="15"/>
      <c r="K29" s="10">
        <f t="shared" si="13"/>
        <v>0</v>
      </c>
      <c r="L29" s="10"/>
      <c r="M29" s="17"/>
      <c r="N29" s="17">
        <f t="shared" si="17"/>
        <v>0</v>
      </c>
      <c r="O29" s="17">
        <f t="shared" si="18"/>
        <v>0</v>
      </c>
      <c r="P29" s="17">
        <f t="shared" si="19"/>
        <v>0</v>
      </c>
      <c r="Q29" s="17">
        <f t="shared" si="20"/>
        <v>0</v>
      </c>
      <c r="R29" s="49"/>
    </row>
    <row r="30" spans="2:36" x14ac:dyDescent="0.25">
      <c r="B30" s="63" t="str">
        <f>IF(F30&lt;&gt;"",1+MAX($B$22:B29),"")</f>
        <v/>
      </c>
      <c r="C30" s="64"/>
      <c r="D30" s="65" t="s">
        <v>128</v>
      </c>
      <c r="E30" s="23"/>
      <c r="F30" s="39"/>
      <c r="G30" s="17"/>
      <c r="H30" s="17">
        <f t="shared" si="11"/>
        <v>0</v>
      </c>
      <c r="I30" s="17">
        <f t="shared" si="12"/>
        <v>0</v>
      </c>
      <c r="J30" s="15"/>
      <c r="K30" s="10">
        <f t="shared" si="13"/>
        <v>0</v>
      </c>
      <c r="L30" s="10"/>
      <c r="M30" s="17"/>
      <c r="N30" s="17">
        <f t="shared" si="17"/>
        <v>0</v>
      </c>
      <c r="O30" s="17">
        <f t="shared" si="18"/>
        <v>0</v>
      </c>
      <c r="P30" s="17">
        <f t="shared" si="19"/>
        <v>0</v>
      </c>
      <c r="Q30" s="17">
        <f t="shared" si="20"/>
        <v>0</v>
      </c>
      <c r="R30" s="49"/>
    </row>
    <row r="31" spans="2:36" x14ac:dyDescent="0.25">
      <c r="B31" s="48">
        <f>IF(F31&lt;&gt;"",1+MAX($B$22:B30),"")</f>
        <v>3</v>
      </c>
      <c r="C31" s="131" t="s">
        <v>129</v>
      </c>
      <c r="D31" s="8" t="s">
        <v>130</v>
      </c>
      <c r="E31" s="23" t="s">
        <v>50</v>
      </c>
      <c r="F31" s="39">
        <v>44.26</v>
      </c>
      <c r="G31" s="75"/>
      <c r="H31" s="75">
        <f t="shared" si="11"/>
        <v>0</v>
      </c>
      <c r="I31" s="75">
        <f t="shared" si="12"/>
        <v>0</v>
      </c>
      <c r="J31" s="15">
        <v>0.185</v>
      </c>
      <c r="K31" s="10">
        <f t="shared" si="13"/>
        <v>8.1881000000000004</v>
      </c>
      <c r="L31" s="10" t="s">
        <v>246</v>
      </c>
      <c r="M31" s="17">
        <v>42.1</v>
      </c>
      <c r="N31" s="17">
        <f t="shared" si="17"/>
        <v>56.414000000000009</v>
      </c>
      <c r="O31" s="17">
        <f t="shared" si="18"/>
        <v>10.436590000000001</v>
      </c>
      <c r="P31" s="17">
        <f t="shared" si="19"/>
        <v>461.92347340000003</v>
      </c>
      <c r="Q31" s="17">
        <f t="shared" si="20"/>
        <v>461.92347340000003</v>
      </c>
      <c r="R31" s="49"/>
    </row>
    <row r="32" spans="2:36" x14ac:dyDescent="0.25">
      <c r="B32" s="48">
        <f>IF(F32&lt;&gt;"",1+MAX($B$22:B31),"")</f>
        <v>4</v>
      </c>
      <c r="C32" s="131"/>
      <c r="D32" s="8" t="s">
        <v>186</v>
      </c>
      <c r="E32" s="23" t="s">
        <v>48</v>
      </c>
      <c r="F32" s="39">
        <v>137</v>
      </c>
      <c r="G32" s="75"/>
      <c r="H32" s="75">
        <f t="shared" si="11"/>
        <v>0</v>
      </c>
      <c r="I32" s="75">
        <f t="shared" si="12"/>
        <v>0</v>
      </c>
      <c r="J32" s="15">
        <v>2.5000000000000001E-2</v>
      </c>
      <c r="K32" s="10">
        <f t="shared" si="13"/>
        <v>3.4250000000000003</v>
      </c>
      <c r="L32" s="10" t="s">
        <v>246</v>
      </c>
      <c r="M32" s="17">
        <v>42.1</v>
      </c>
      <c r="N32" s="17">
        <f t="shared" si="17"/>
        <v>56.414000000000009</v>
      </c>
      <c r="O32" s="17">
        <f t="shared" si="18"/>
        <v>1.4103500000000002</v>
      </c>
      <c r="P32" s="17">
        <f t="shared" si="19"/>
        <v>193.21795000000003</v>
      </c>
      <c r="Q32" s="17">
        <f t="shared" si="20"/>
        <v>193.21795000000003</v>
      </c>
      <c r="R32" s="49"/>
    </row>
    <row r="33" spans="2:18" x14ac:dyDescent="0.25">
      <c r="B33" s="48">
        <f>IF(F33&lt;&gt;"",1+MAX($B$22:B32),"")</f>
        <v>5</v>
      </c>
      <c r="C33" s="131"/>
      <c r="D33" s="8" t="s">
        <v>131</v>
      </c>
      <c r="E33" s="23" t="s">
        <v>48</v>
      </c>
      <c r="F33" s="39">
        <v>118.23</v>
      </c>
      <c r="G33" s="75"/>
      <c r="H33" s="75">
        <f t="shared" si="11"/>
        <v>0</v>
      </c>
      <c r="I33" s="75">
        <f t="shared" si="12"/>
        <v>0</v>
      </c>
      <c r="J33" s="15">
        <v>2.5000000000000001E-2</v>
      </c>
      <c r="K33" s="10">
        <f t="shared" si="13"/>
        <v>2.9557500000000001</v>
      </c>
      <c r="L33" s="10" t="s">
        <v>246</v>
      </c>
      <c r="M33" s="17">
        <v>42.1</v>
      </c>
      <c r="N33" s="17">
        <f t="shared" si="17"/>
        <v>56.414000000000009</v>
      </c>
      <c r="O33" s="17">
        <f t="shared" si="18"/>
        <v>1.4103500000000002</v>
      </c>
      <c r="P33" s="17">
        <f t="shared" si="19"/>
        <v>166.74568050000002</v>
      </c>
      <c r="Q33" s="17">
        <f t="shared" si="20"/>
        <v>166.74568050000002</v>
      </c>
      <c r="R33" s="49"/>
    </row>
    <row r="34" spans="2:18" x14ac:dyDescent="0.25">
      <c r="B34" s="48">
        <f>IF(F34&lt;&gt;"",1+MAX($B$22:B33),"")</f>
        <v>6</v>
      </c>
      <c r="C34" s="131"/>
      <c r="D34" s="8" t="s">
        <v>132</v>
      </c>
      <c r="E34" s="23" t="s">
        <v>121</v>
      </c>
      <c r="F34" s="39">
        <v>40</v>
      </c>
      <c r="G34" s="75"/>
      <c r="H34" s="75">
        <f t="shared" si="11"/>
        <v>0</v>
      </c>
      <c r="I34" s="75">
        <f t="shared" si="12"/>
        <v>0</v>
      </c>
      <c r="J34" s="15">
        <v>0.125</v>
      </c>
      <c r="K34" s="10">
        <f t="shared" si="13"/>
        <v>5</v>
      </c>
      <c r="L34" s="79" t="s">
        <v>230</v>
      </c>
      <c r="M34" s="80">
        <v>42.1</v>
      </c>
      <c r="N34" s="17">
        <f t="shared" si="17"/>
        <v>56.414000000000009</v>
      </c>
      <c r="O34" s="17">
        <f t="shared" si="18"/>
        <v>7.0517500000000011</v>
      </c>
      <c r="P34" s="17">
        <f t="shared" si="19"/>
        <v>282.07000000000005</v>
      </c>
      <c r="Q34" s="17">
        <f t="shared" si="20"/>
        <v>282.07000000000005</v>
      </c>
      <c r="R34" s="49"/>
    </row>
    <row r="35" spans="2:18" x14ac:dyDescent="0.25">
      <c r="B35" s="48">
        <f>IF(F35&lt;&gt;"",1+MAX($B$22:B34),"")</f>
        <v>7</v>
      </c>
      <c r="C35" s="131"/>
      <c r="D35" s="8" t="s">
        <v>133</v>
      </c>
      <c r="E35" s="23" t="s">
        <v>48</v>
      </c>
      <c r="F35" s="39">
        <v>179.1</v>
      </c>
      <c r="G35" s="75"/>
      <c r="H35" s="75">
        <f t="shared" si="11"/>
        <v>0</v>
      </c>
      <c r="I35" s="75">
        <f t="shared" si="12"/>
        <v>0</v>
      </c>
      <c r="J35" s="15">
        <v>2.5000000000000001E-2</v>
      </c>
      <c r="K35" s="10">
        <f t="shared" si="13"/>
        <v>4.4775</v>
      </c>
      <c r="L35" s="79" t="s">
        <v>230</v>
      </c>
      <c r="M35" s="80">
        <v>42.1</v>
      </c>
      <c r="N35" s="17">
        <f t="shared" si="17"/>
        <v>56.414000000000009</v>
      </c>
      <c r="O35" s="17">
        <f t="shared" si="18"/>
        <v>1.4103500000000002</v>
      </c>
      <c r="P35" s="17">
        <f t="shared" si="19"/>
        <v>252.59368500000002</v>
      </c>
      <c r="Q35" s="17">
        <f t="shared" si="20"/>
        <v>252.59368500000002</v>
      </c>
      <c r="R35" s="49"/>
    </row>
    <row r="36" spans="2:18" x14ac:dyDescent="0.25">
      <c r="B36" s="48">
        <f>IF(F36&lt;&gt;"",1+MAX($B$22:B35),"")</f>
        <v>8</v>
      </c>
      <c r="C36" s="131"/>
      <c r="D36" s="8" t="s">
        <v>184</v>
      </c>
      <c r="E36" s="23" t="s">
        <v>121</v>
      </c>
      <c r="F36" s="39">
        <v>2</v>
      </c>
      <c r="G36" s="75"/>
      <c r="H36" s="75">
        <f t="shared" si="11"/>
        <v>0</v>
      </c>
      <c r="I36" s="75">
        <f t="shared" si="12"/>
        <v>0</v>
      </c>
      <c r="J36" s="15">
        <v>2.4249999999999998</v>
      </c>
      <c r="K36" s="10">
        <f t="shared" si="13"/>
        <v>4.8499999999999996</v>
      </c>
      <c r="L36" s="10" t="s">
        <v>246</v>
      </c>
      <c r="M36" s="17">
        <v>42.1</v>
      </c>
      <c r="N36" s="17">
        <f t="shared" si="17"/>
        <v>56.414000000000009</v>
      </c>
      <c r="O36" s="17">
        <f t="shared" si="18"/>
        <v>136.80395000000001</v>
      </c>
      <c r="P36" s="17">
        <f t="shared" si="19"/>
        <v>273.60790000000003</v>
      </c>
      <c r="Q36" s="17">
        <f t="shared" si="20"/>
        <v>273.60790000000003</v>
      </c>
      <c r="R36" s="49"/>
    </row>
    <row r="37" spans="2:18" x14ac:dyDescent="0.25">
      <c r="B37" s="48">
        <f>IF(F37&lt;&gt;"",1+MAX($B$22:B36),"")</f>
        <v>9</v>
      </c>
      <c r="C37" s="131"/>
      <c r="D37" s="8" t="s">
        <v>188</v>
      </c>
      <c r="E37" s="23" t="s">
        <v>187</v>
      </c>
      <c r="F37" s="39">
        <f>945*22+561*22+732*22+587*22</f>
        <v>62150</v>
      </c>
      <c r="G37" s="75"/>
      <c r="H37" s="75">
        <f t="shared" si="11"/>
        <v>0</v>
      </c>
      <c r="I37" s="75">
        <f t="shared" si="12"/>
        <v>0</v>
      </c>
      <c r="J37" s="15">
        <v>2E-3</v>
      </c>
      <c r="K37" s="10">
        <f t="shared" si="13"/>
        <v>124.3</v>
      </c>
      <c r="L37" s="79" t="s">
        <v>247</v>
      </c>
      <c r="M37" s="80">
        <v>94.03</v>
      </c>
      <c r="N37" s="17">
        <f t="shared" si="17"/>
        <v>126.00020000000001</v>
      </c>
      <c r="O37" s="17">
        <f t="shared" si="18"/>
        <v>0.25200040000000001</v>
      </c>
      <c r="P37" s="17">
        <f t="shared" si="19"/>
        <v>15661.824860000001</v>
      </c>
      <c r="Q37" s="17">
        <f t="shared" si="20"/>
        <v>15661.824860000001</v>
      </c>
      <c r="R37" s="49"/>
    </row>
    <row r="38" spans="2:18" ht="27.6" x14ac:dyDescent="0.25">
      <c r="B38" s="48">
        <f>IF(F38&lt;&gt;"",1+MAX($B$22:B37),"")</f>
        <v>10</v>
      </c>
      <c r="C38" s="131"/>
      <c r="D38" s="8" t="s">
        <v>189</v>
      </c>
      <c r="E38" s="23" t="s">
        <v>48</v>
      </c>
      <c r="F38" s="39">
        <f>145</f>
        <v>145</v>
      </c>
      <c r="G38" s="75"/>
      <c r="H38" s="75">
        <f t="shared" si="11"/>
        <v>0</v>
      </c>
      <c r="I38" s="75">
        <f t="shared" si="12"/>
        <v>0</v>
      </c>
      <c r="J38" s="15">
        <v>3.625</v>
      </c>
      <c r="K38" s="10">
        <f t="shared" si="13"/>
        <v>525.625</v>
      </c>
      <c r="L38" s="79" t="s">
        <v>230</v>
      </c>
      <c r="M38" s="80">
        <v>42.1</v>
      </c>
      <c r="N38" s="17">
        <f t="shared" si="17"/>
        <v>56.414000000000009</v>
      </c>
      <c r="O38" s="17">
        <f t="shared" si="18"/>
        <v>204.50075000000004</v>
      </c>
      <c r="P38" s="17">
        <f t="shared" si="19"/>
        <v>29652.608750000007</v>
      </c>
      <c r="Q38" s="17">
        <f t="shared" si="20"/>
        <v>29652.608750000007</v>
      </c>
      <c r="R38" s="49"/>
    </row>
    <row r="39" spans="2:18" ht="27.6" x14ac:dyDescent="0.25">
      <c r="B39" s="48">
        <f>IF(F39&lt;&gt;"",1+MAX($B$22:B38),"")</f>
        <v>11</v>
      </c>
      <c r="C39" s="131"/>
      <c r="D39" s="8" t="s">
        <v>190</v>
      </c>
      <c r="E39" s="23" t="s">
        <v>48</v>
      </c>
      <c r="F39" s="39">
        <v>225</v>
      </c>
      <c r="G39" s="75"/>
      <c r="H39" s="75">
        <f t="shared" si="11"/>
        <v>0</v>
      </c>
      <c r="I39" s="75">
        <f t="shared" si="12"/>
        <v>0</v>
      </c>
      <c r="J39" s="15">
        <v>5.625</v>
      </c>
      <c r="K39" s="10">
        <f t="shared" si="13"/>
        <v>1265.625</v>
      </c>
      <c r="L39" s="79" t="s">
        <v>230</v>
      </c>
      <c r="M39" s="80">
        <v>42.1</v>
      </c>
      <c r="N39" s="17">
        <f t="shared" si="17"/>
        <v>56.414000000000009</v>
      </c>
      <c r="O39" s="17">
        <f t="shared" si="18"/>
        <v>317.32875000000007</v>
      </c>
      <c r="P39" s="17">
        <f t="shared" si="19"/>
        <v>71398.968750000015</v>
      </c>
      <c r="Q39" s="17">
        <f t="shared" si="20"/>
        <v>71398.968750000015</v>
      </c>
      <c r="R39" s="49"/>
    </row>
    <row r="40" spans="2:18" ht="27.6" x14ac:dyDescent="0.25">
      <c r="B40" s="48">
        <f>IF(F40&lt;&gt;"",1+MAX($B$22:B39),"")</f>
        <v>12</v>
      </c>
      <c r="C40" s="131"/>
      <c r="D40" s="8" t="s">
        <v>191</v>
      </c>
      <c r="E40" s="23" t="s">
        <v>187</v>
      </c>
      <c r="F40" s="39">
        <f>20*10</f>
        <v>200</v>
      </c>
      <c r="G40" s="75"/>
      <c r="H40" s="75">
        <f t="shared" si="11"/>
        <v>0</v>
      </c>
      <c r="I40" s="75">
        <f t="shared" si="12"/>
        <v>0</v>
      </c>
      <c r="J40" s="15">
        <v>0.5</v>
      </c>
      <c r="K40" s="10">
        <f t="shared" si="13"/>
        <v>100</v>
      </c>
      <c r="L40" s="79" t="s">
        <v>230</v>
      </c>
      <c r="M40" s="80">
        <v>42.1</v>
      </c>
      <c r="N40" s="17">
        <f t="shared" si="17"/>
        <v>56.414000000000009</v>
      </c>
      <c r="O40" s="17">
        <f t="shared" si="18"/>
        <v>28.207000000000004</v>
      </c>
      <c r="P40" s="17">
        <f t="shared" si="19"/>
        <v>5641.4000000000005</v>
      </c>
      <c r="Q40" s="17">
        <f t="shared" si="20"/>
        <v>5641.4000000000005</v>
      </c>
      <c r="R40" s="49"/>
    </row>
    <row r="41" spans="2:18" ht="27.6" x14ac:dyDescent="0.25">
      <c r="B41" s="48">
        <f>IF(F41&lt;&gt;"",1+MAX($B$22:B40),"")</f>
        <v>13</v>
      </c>
      <c r="C41" s="131"/>
      <c r="D41" s="8" t="s">
        <v>192</v>
      </c>
      <c r="E41" s="23" t="s">
        <v>48</v>
      </c>
      <c r="F41" s="39">
        <v>36</v>
      </c>
      <c r="G41" s="75"/>
      <c r="H41" s="75">
        <f t="shared" si="11"/>
        <v>0</v>
      </c>
      <c r="I41" s="75">
        <f t="shared" si="12"/>
        <v>0</v>
      </c>
      <c r="J41" s="15">
        <v>0.9</v>
      </c>
      <c r="K41" s="10">
        <f t="shared" si="13"/>
        <v>32.4</v>
      </c>
      <c r="L41" s="79" t="s">
        <v>230</v>
      </c>
      <c r="M41" s="80">
        <v>42.1</v>
      </c>
      <c r="N41" s="17">
        <f t="shared" si="17"/>
        <v>56.414000000000009</v>
      </c>
      <c r="O41" s="17">
        <f t="shared" si="18"/>
        <v>50.772600000000011</v>
      </c>
      <c r="P41" s="17">
        <f t="shared" si="19"/>
        <v>1827.8136000000004</v>
      </c>
      <c r="Q41" s="17">
        <f t="shared" si="20"/>
        <v>1827.8136000000004</v>
      </c>
      <c r="R41" s="49"/>
    </row>
    <row r="42" spans="2:18" ht="27.6" x14ac:dyDescent="0.25">
      <c r="B42" s="48">
        <f>IF(F42&lt;&gt;"",1+MAX($B$22:B41),"")</f>
        <v>14</v>
      </c>
      <c r="C42" s="131"/>
      <c r="D42" s="8" t="s">
        <v>193</v>
      </c>
      <c r="E42" s="23" t="s">
        <v>48</v>
      </c>
      <c r="F42" s="39">
        <v>111</v>
      </c>
      <c r="G42" s="75"/>
      <c r="H42" s="75">
        <f t="shared" si="11"/>
        <v>0</v>
      </c>
      <c r="I42" s="75">
        <f t="shared" si="12"/>
        <v>0</v>
      </c>
      <c r="J42" s="15">
        <v>6.5000000000000002E-2</v>
      </c>
      <c r="K42" s="10">
        <f t="shared" si="13"/>
        <v>7.2149999999999999</v>
      </c>
      <c r="L42" s="79" t="s">
        <v>230</v>
      </c>
      <c r="M42" s="80">
        <v>42.1</v>
      </c>
      <c r="N42" s="17">
        <f t="shared" si="17"/>
        <v>56.414000000000009</v>
      </c>
      <c r="O42" s="17">
        <f t="shared" si="18"/>
        <v>3.6669100000000006</v>
      </c>
      <c r="P42" s="17">
        <f t="shared" si="19"/>
        <v>407.02701000000008</v>
      </c>
      <c r="Q42" s="17">
        <f t="shared" si="20"/>
        <v>407.02701000000008</v>
      </c>
      <c r="R42" s="49"/>
    </row>
    <row r="43" spans="2:18" x14ac:dyDescent="0.25">
      <c r="B43" s="48" t="str">
        <f>IF(F43&lt;&gt;"",1+MAX($B$22:B42),"")</f>
        <v/>
      </c>
      <c r="C43" s="52"/>
      <c r="D43" s="8"/>
      <c r="E43" s="23"/>
      <c r="F43" s="39"/>
      <c r="G43" s="17"/>
      <c r="H43" s="17">
        <f t="shared" si="11"/>
        <v>0</v>
      </c>
      <c r="I43" s="17">
        <f t="shared" si="12"/>
        <v>0</v>
      </c>
      <c r="J43" s="15"/>
      <c r="K43" s="10">
        <f t="shared" si="13"/>
        <v>0</v>
      </c>
      <c r="L43" s="10"/>
      <c r="M43" s="17"/>
      <c r="N43" s="17">
        <f t="shared" si="17"/>
        <v>0</v>
      </c>
      <c r="O43" s="17">
        <f t="shared" si="18"/>
        <v>0</v>
      </c>
      <c r="P43" s="17">
        <f t="shared" si="19"/>
        <v>0</v>
      </c>
      <c r="Q43" s="17">
        <f t="shared" si="20"/>
        <v>0</v>
      </c>
      <c r="R43" s="49"/>
    </row>
    <row r="44" spans="2:18" x14ac:dyDescent="0.25">
      <c r="B44" s="63" t="str">
        <f>IF(F44&lt;&gt;"",1+MAX($B$22:B43),"")</f>
        <v/>
      </c>
      <c r="C44" s="64"/>
      <c r="D44" s="65" t="s">
        <v>134</v>
      </c>
      <c r="E44" s="23"/>
      <c r="F44" s="39"/>
      <c r="G44" s="17"/>
      <c r="H44" s="17">
        <f t="shared" si="11"/>
        <v>0</v>
      </c>
      <c r="I44" s="17">
        <f t="shared" si="12"/>
        <v>0</v>
      </c>
      <c r="J44" s="15"/>
      <c r="K44" s="10">
        <f t="shared" si="13"/>
        <v>0</v>
      </c>
      <c r="L44" s="10"/>
      <c r="M44" s="17"/>
      <c r="N44" s="17">
        <f t="shared" si="17"/>
        <v>0</v>
      </c>
      <c r="O44" s="17">
        <f t="shared" si="18"/>
        <v>0</v>
      </c>
      <c r="P44" s="17">
        <f t="shared" si="19"/>
        <v>0</v>
      </c>
      <c r="Q44" s="17">
        <f t="shared" si="20"/>
        <v>0</v>
      </c>
      <c r="R44" s="49"/>
    </row>
    <row r="45" spans="2:18" ht="41.4" x14ac:dyDescent="0.25">
      <c r="B45" s="48">
        <f>IF(F45&lt;&gt;"",1+MAX($B$22:B44),"")</f>
        <v>15</v>
      </c>
      <c r="C45" s="52" t="s">
        <v>135</v>
      </c>
      <c r="D45" s="8" t="s">
        <v>136</v>
      </c>
      <c r="E45" s="23" t="s">
        <v>48</v>
      </c>
      <c r="F45" s="39">
        <f>25*12</f>
        <v>300</v>
      </c>
      <c r="G45" s="17">
        <v>1.25</v>
      </c>
      <c r="H45" s="17">
        <f t="shared" si="11"/>
        <v>1.125</v>
      </c>
      <c r="I45" s="17">
        <f t="shared" si="12"/>
        <v>337.5</v>
      </c>
      <c r="J45" s="15">
        <v>4.2000000000000003E-2</v>
      </c>
      <c r="K45" s="10">
        <f t="shared" si="13"/>
        <v>12.600000000000001</v>
      </c>
      <c r="L45" s="79" t="s">
        <v>230</v>
      </c>
      <c r="M45" s="80">
        <v>42.1</v>
      </c>
      <c r="N45" s="17">
        <f t="shared" si="17"/>
        <v>56.414000000000009</v>
      </c>
      <c r="O45" s="17">
        <f t="shared" si="18"/>
        <v>2.3693880000000007</v>
      </c>
      <c r="P45" s="17">
        <f t="shared" si="19"/>
        <v>710.81640000000016</v>
      </c>
      <c r="Q45" s="17">
        <f t="shared" si="20"/>
        <v>1048.3164000000002</v>
      </c>
      <c r="R45" s="49"/>
    </row>
    <row r="46" spans="2:18" x14ac:dyDescent="0.25">
      <c r="B46" s="48" t="str">
        <f>IF(F46&lt;&gt;"",1+MAX($B$22:B45),"")</f>
        <v/>
      </c>
      <c r="C46" s="52"/>
      <c r="D46" s="50"/>
      <c r="E46" s="23"/>
      <c r="F46" s="39"/>
      <c r="G46" s="17"/>
      <c r="H46" s="17">
        <f t="shared" si="11"/>
        <v>0</v>
      </c>
      <c r="I46" s="17">
        <f t="shared" si="12"/>
        <v>0</v>
      </c>
      <c r="J46" s="15"/>
      <c r="K46" s="10">
        <f t="shared" si="13"/>
        <v>0</v>
      </c>
      <c r="L46" s="10"/>
      <c r="M46" s="17"/>
      <c r="N46" s="17">
        <f t="shared" si="17"/>
        <v>0</v>
      </c>
      <c r="O46" s="17">
        <f t="shared" si="18"/>
        <v>0</v>
      </c>
      <c r="P46" s="17">
        <f t="shared" si="19"/>
        <v>0</v>
      </c>
      <c r="Q46" s="17">
        <f t="shared" si="20"/>
        <v>0</v>
      </c>
      <c r="R46" s="49"/>
    </row>
    <row r="47" spans="2:18" x14ac:dyDescent="0.25">
      <c r="B47" s="63" t="str">
        <f>IF(F47&lt;&gt;"",1+MAX($B$22:B46),"")</f>
        <v/>
      </c>
      <c r="C47" s="64"/>
      <c r="D47" s="65" t="s">
        <v>137</v>
      </c>
      <c r="E47" s="23"/>
      <c r="F47" s="39"/>
      <c r="G47" s="17"/>
      <c r="H47" s="17">
        <f t="shared" si="11"/>
        <v>0</v>
      </c>
      <c r="I47" s="17">
        <f t="shared" si="12"/>
        <v>0</v>
      </c>
      <c r="J47" s="15"/>
      <c r="K47" s="10">
        <f t="shared" si="13"/>
        <v>0</v>
      </c>
      <c r="L47" s="10"/>
      <c r="M47" s="17"/>
      <c r="N47" s="17">
        <f t="shared" si="17"/>
        <v>0</v>
      </c>
      <c r="O47" s="17">
        <f t="shared" si="18"/>
        <v>0</v>
      </c>
      <c r="P47" s="17">
        <f t="shared" si="19"/>
        <v>0</v>
      </c>
      <c r="Q47" s="17">
        <f t="shared" si="20"/>
        <v>0</v>
      </c>
      <c r="R47" s="49"/>
    </row>
    <row r="48" spans="2:18" ht="138" x14ac:dyDescent="0.25">
      <c r="B48" s="48">
        <f>IF(F48&lt;&gt;"",1+MAX($B$22:B47),"")</f>
        <v>16</v>
      </c>
      <c r="C48" s="52" t="s">
        <v>135</v>
      </c>
      <c r="D48" s="8" t="s">
        <v>138</v>
      </c>
      <c r="E48" s="23" t="s">
        <v>50</v>
      </c>
      <c r="F48" s="39">
        <f>520</f>
        <v>520</v>
      </c>
      <c r="G48" s="17">
        <v>12.25</v>
      </c>
      <c r="H48" s="17">
        <f t="shared" si="11"/>
        <v>11.025</v>
      </c>
      <c r="I48" s="17">
        <f t="shared" si="12"/>
        <v>5733</v>
      </c>
      <c r="J48" s="15">
        <v>0.14299999999999999</v>
      </c>
      <c r="K48" s="10">
        <f t="shared" si="13"/>
        <v>74.36</v>
      </c>
      <c r="L48" s="79" t="s">
        <v>236</v>
      </c>
      <c r="M48" s="80">
        <v>54.23</v>
      </c>
      <c r="N48" s="17">
        <f t="shared" si="17"/>
        <v>72.668199999999999</v>
      </c>
      <c r="O48" s="17">
        <f t="shared" si="18"/>
        <v>10.391552599999999</v>
      </c>
      <c r="P48" s="17">
        <f t="shared" si="19"/>
        <v>5403.6073519999991</v>
      </c>
      <c r="Q48" s="17">
        <f t="shared" si="20"/>
        <v>11136.607351999999</v>
      </c>
      <c r="R48" s="49"/>
    </row>
    <row r="49" spans="2:18" x14ac:dyDescent="0.25">
      <c r="B49" s="48" t="str">
        <f>IF(F49&lt;&gt;"",1+MAX($B$22:B48),"")</f>
        <v/>
      </c>
      <c r="C49" s="52"/>
      <c r="D49" s="50"/>
      <c r="E49" s="23"/>
      <c r="F49" s="39"/>
      <c r="G49" s="17"/>
      <c r="H49" s="17">
        <f t="shared" si="11"/>
        <v>0</v>
      </c>
      <c r="I49" s="17">
        <f t="shared" si="12"/>
        <v>0</v>
      </c>
      <c r="J49" s="15"/>
      <c r="K49" s="10">
        <f t="shared" si="13"/>
        <v>0</v>
      </c>
      <c r="L49" s="10"/>
      <c r="M49" s="17"/>
      <c r="N49" s="17">
        <f t="shared" si="17"/>
        <v>0</v>
      </c>
      <c r="O49" s="17">
        <f t="shared" si="18"/>
        <v>0</v>
      </c>
      <c r="P49" s="17">
        <f t="shared" si="19"/>
        <v>0</v>
      </c>
      <c r="Q49" s="17">
        <f t="shared" si="20"/>
        <v>0</v>
      </c>
      <c r="R49" s="49"/>
    </row>
    <row r="50" spans="2:18" x14ac:dyDescent="0.25">
      <c r="B50" s="63" t="str">
        <f>IF(F50&lt;&gt;"",1+MAX($B$22:B49),"")</f>
        <v/>
      </c>
      <c r="C50" s="64"/>
      <c r="D50" s="65" t="s">
        <v>139</v>
      </c>
      <c r="E50" s="23"/>
      <c r="F50" s="39"/>
      <c r="G50" s="17"/>
      <c r="H50" s="17">
        <f t="shared" si="11"/>
        <v>0</v>
      </c>
      <c r="I50" s="17">
        <f t="shared" si="12"/>
        <v>0</v>
      </c>
      <c r="J50" s="15"/>
      <c r="K50" s="10">
        <f t="shared" si="13"/>
        <v>0</v>
      </c>
      <c r="L50" s="10"/>
      <c r="M50" s="17"/>
      <c r="N50" s="17">
        <f t="shared" si="17"/>
        <v>0</v>
      </c>
      <c r="O50" s="17">
        <f t="shared" si="18"/>
        <v>0</v>
      </c>
      <c r="P50" s="17">
        <f t="shared" si="19"/>
        <v>0</v>
      </c>
      <c r="Q50" s="17">
        <f t="shared" si="20"/>
        <v>0</v>
      </c>
      <c r="R50" s="49"/>
    </row>
    <row r="51" spans="2:18" ht="124.2" x14ac:dyDescent="0.25">
      <c r="B51" s="48">
        <f>IF(F51&lt;&gt;"",1+MAX($B$22:B50),"")</f>
        <v>17</v>
      </c>
      <c r="C51" s="131" t="s">
        <v>140</v>
      </c>
      <c r="D51" s="8" t="s">
        <v>194</v>
      </c>
      <c r="E51" s="23" t="s">
        <v>50</v>
      </c>
      <c r="F51" s="39">
        <f>104</f>
        <v>104</v>
      </c>
      <c r="G51" s="17">
        <v>18.75</v>
      </c>
      <c r="H51" s="17">
        <f t="shared" si="11"/>
        <v>16.875</v>
      </c>
      <c r="I51" s="17">
        <f t="shared" si="12"/>
        <v>1755</v>
      </c>
      <c r="J51" s="15">
        <v>0.14299999999999999</v>
      </c>
      <c r="K51" s="10">
        <f t="shared" si="13"/>
        <v>14.871999999999998</v>
      </c>
      <c r="L51" s="79" t="s">
        <v>236</v>
      </c>
      <c r="M51" s="80">
        <v>54.23</v>
      </c>
      <c r="N51" s="17">
        <f t="shared" si="17"/>
        <v>72.668199999999999</v>
      </c>
      <c r="O51" s="17">
        <f t="shared" si="18"/>
        <v>10.391552599999999</v>
      </c>
      <c r="P51" s="17">
        <f t="shared" si="19"/>
        <v>1080.7214703999998</v>
      </c>
      <c r="Q51" s="17">
        <f t="shared" si="20"/>
        <v>2835.7214703999998</v>
      </c>
      <c r="R51" s="49"/>
    </row>
    <row r="52" spans="2:18" ht="124.2" x14ac:dyDescent="0.25">
      <c r="B52" s="48">
        <f>IF(F52&lt;&gt;"",1+MAX($B$22:B51),"")</f>
        <v>18</v>
      </c>
      <c r="C52" s="131"/>
      <c r="D52" s="8" t="s">
        <v>195</v>
      </c>
      <c r="E52" s="23" t="s">
        <v>50</v>
      </c>
      <c r="F52" s="39">
        <v>169</v>
      </c>
      <c r="G52" s="17">
        <v>18.75</v>
      </c>
      <c r="H52" s="17">
        <f t="shared" si="11"/>
        <v>16.875</v>
      </c>
      <c r="I52" s="17">
        <f t="shared" si="12"/>
        <v>2851.875</v>
      </c>
      <c r="J52" s="15">
        <v>0.14299999999999999</v>
      </c>
      <c r="K52" s="10">
        <f t="shared" si="13"/>
        <v>24.166999999999998</v>
      </c>
      <c r="L52" s="79" t="s">
        <v>236</v>
      </c>
      <c r="M52" s="80">
        <v>54.23</v>
      </c>
      <c r="N52" s="17">
        <f t="shared" si="17"/>
        <v>72.668199999999999</v>
      </c>
      <c r="O52" s="17">
        <f t="shared" si="18"/>
        <v>10.391552599999999</v>
      </c>
      <c r="P52" s="17">
        <f t="shared" si="19"/>
        <v>1756.1723893999999</v>
      </c>
      <c r="Q52" s="17">
        <f t="shared" si="20"/>
        <v>4608.0473893999997</v>
      </c>
      <c r="R52" s="49"/>
    </row>
    <row r="53" spans="2:18" x14ac:dyDescent="0.25">
      <c r="B53" s="48" t="str">
        <f>IF(F53&lt;&gt;"",1+MAX($B$22:B52),"")</f>
        <v/>
      </c>
      <c r="C53" s="131"/>
      <c r="D53" s="8"/>
      <c r="E53" s="23"/>
      <c r="F53" s="39"/>
      <c r="G53" s="17"/>
      <c r="H53" s="17">
        <f t="shared" si="11"/>
        <v>0</v>
      </c>
      <c r="I53" s="17">
        <f t="shared" si="12"/>
        <v>0</v>
      </c>
      <c r="J53" s="15"/>
      <c r="K53" s="10">
        <f t="shared" si="13"/>
        <v>0</v>
      </c>
      <c r="L53" s="10"/>
      <c r="M53" s="17"/>
      <c r="N53" s="17">
        <f t="shared" si="17"/>
        <v>0</v>
      </c>
      <c r="O53" s="17">
        <f t="shared" si="18"/>
        <v>0</v>
      </c>
      <c r="P53" s="17">
        <f t="shared" si="19"/>
        <v>0</v>
      </c>
      <c r="Q53" s="17">
        <f t="shared" si="20"/>
        <v>0</v>
      </c>
      <c r="R53" s="49"/>
    </row>
    <row r="54" spans="2:18" x14ac:dyDescent="0.25">
      <c r="B54" s="48" t="str">
        <f>IF(F54&lt;&gt;"",1+MAX($B$22:B53),"")</f>
        <v/>
      </c>
      <c r="C54" s="131"/>
      <c r="D54" s="50" t="s">
        <v>196</v>
      </c>
      <c r="E54" s="23"/>
      <c r="F54" s="39"/>
      <c r="G54" s="17"/>
      <c r="H54" s="17">
        <f t="shared" si="11"/>
        <v>0</v>
      </c>
      <c r="I54" s="17">
        <f t="shared" si="12"/>
        <v>0</v>
      </c>
      <c r="J54" s="15"/>
      <c r="K54" s="10">
        <f t="shared" si="13"/>
        <v>0</v>
      </c>
      <c r="L54" s="10"/>
      <c r="M54" s="17"/>
      <c r="N54" s="17">
        <f t="shared" si="17"/>
        <v>0</v>
      </c>
      <c r="O54" s="17">
        <f t="shared" si="18"/>
        <v>0</v>
      </c>
      <c r="P54" s="17">
        <f t="shared" si="19"/>
        <v>0</v>
      </c>
      <c r="Q54" s="17">
        <f t="shared" si="20"/>
        <v>0</v>
      </c>
      <c r="R54" s="49"/>
    </row>
    <row r="55" spans="2:18" x14ac:dyDescent="0.25">
      <c r="B55" s="48">
        <f>IF(F55&lt;&gt;"",1+MAX($B$22:B54),"")</f>
        <v>19</v>
      </c>
      <c r="C55" s="131"/>
      <c r="D55" s="8" t="s">
        <v>197</v>
      </c>
      <c r="E55" s="23" t="s">
        <v>49</v>
      </c>
      <c r="F55" s="71">
        <f>((34)*0.786*3)/27</f>
        <v>2.9693333333333332</v>
      </c>
      <c r="G55" s="17">
        <v>304.22000000000003</v>
      </c>
      <c r="H55" s="17">
        <f t="shared" si="11"/>
        <v>273.79800000000006</v>
      </c>
      <c r="I55" s="17">
        <f t="shared" si="12"/>
        <v>812.9975280000001</v>
      </c>
      <c r="J55" s="15">
        <v>6.415</v>
      </c>
      <c r="K55" s="10">
        <f t="shared" si="13"/>
        <v>19.048273333333331</v>
      </c>
      <c r="L55" s="79" t="s">
        <v>226</v>
      </c>
      <c r="M55" s="80">
        <v>52.21</v>
      </c>
      <c r="N55" s="17">
        <f t="shared" si="17"/>
        <v>69.961400000000012</v>
      </c>
      <c r="O55" s="17">
        <f t="shared" si="18"/>
        <v>448.80238100000008</v>
      </c>
      <c r="P55" s="17">
        <f t="shared" si="19"/>
        <v>1332.6438699826667</v>
      </c>
      <c r="Q55" s="17">
        <f t="shared" si="20"/>
        <v>2145.6413979826666</v>
      </c>
      <c r="R55" s="49"/>
    </row>
    <row r="56" spans="2:18" x14ac:dyDescent="0.25">
      <c r="B56" s="48" t="str">
        <f>IF(F56&lt;&gt;"",1+MAX($B$22:B55),"")</f>
        <v/>
      </c>
      <c r="C56" s="131"/>
      <c r="D56" s="8"/>
      <c r="E56" s="23"/>
      <c r="F56" s="71"/>
      <c r="G56" s="17"/>
      <c r="H56" s="17">
        <f t="shared" si="11"/>
        <v>0</v>
      </c>
      <c r="I56" s="17">
        <f t="shared" si="12"/>
        <v>0</v>
      </c>
      <c r="J56" s="15"/>
      <c r="K56" s="10">
        <f t="shared" si="13"/>
        <v>0</v>
      </c>
      <c r="L56" s="10"/>
      <c r="M56" s="17"/>
      <c r="N56" s="17">
        <f t="shared" si="17"/>
        <v>0</v>
      </c>
      <c r="O56" s="17">
        <f t="shared" si="18"/>
        <v>0</v>
      </c>
      <c r="P56" s="17">
        <f t="shared" si="19"/>
        <v>0</v>
      </c>
      <c r="Q56" s="17">
        <f t="shared" si="20"/>
        <v>0</v>
      </c>
      <c r="R56" s="49"/>
    </row>
    <row r="57" spans="2:18" x14ac:dyDescent="0.25">
      <c r="B57" s="48" t="str">
        <f>IF(F57&lt;&gt;"",1+MAX($B$22:B56),"")</f>
        <v/>
      </c>
      <c r="C57" s="131"/>
      <c r="D57" s="50" t="s">
        <v>51</v>
      </c>
      <c r="E57" s="23"/>
      <c r="F57" s="71"/>
      <c r="G57" s="17"/>
      <c r="H57" s="17">
        <f t="shared" si="11"/>
        <v>0</v>
      </c>
      <c r="I57" s="17">
        <f t="shared" si="12"/>
        <v>0</v>
      </c>
      <c r="J57" s="15"/>
      <c r="K57" s="10">
        <f t="shared" si="13"/>
        <v>0</v>
      </c>
      <c r="L57" s="10"/>
      <c r="M57" s="17"/>
      <c r="N57" s="17">
        <f t="shared" si="17"/>
        <v>0</v>
      </c>
      <c r="O57" s="17">
        <f t="shared" si="18"/>
        <v>0</v>
      </c>
      <c r="P57" s="17">
        <f t="shared" si="19"/>
        <v>0</v>
      </c>
      <c r="Q57" s="17">
        <f t="shared" si="20"/>
        <v>0</v>
      </c>
      <c r="R57" s="49"/>
    </row>
    <row r="58" spans="2:18" x14ac:dyDescent="0.25">
      <c r="B58" s="48">
        <f>IF(F58&lt;&gt;"",1+MAX($B$22:B57),"")</f>
        <v>20</v>
      </c>
      <c r="C58" s="131"/>
      <c r="D58" s="8" t="s">
        <v>62</v>
      </c>
      <c r="E58" s="23" t="s">
        <v>49</v>
      </c>
      <c r="F58" s="71">
        <f>((34)*0.786*3)/27</f>
        <v>2.9693333333333332</v>
      </c>
      <c r="G58" s="75"/>
      <c r="H58" s="75">
        <f t="shared" si="11"/>
        <v>0</v>
      </c>
      <c r="I58" s="75">
        <f t="shared" si="12"/>
        <v>0</v>
      </c>
      <c r="J58" s="15">
        <v>1.1885999999999999</v>
      </c>
      <c r="K58" s="10">
        <f t="shared" si="13"/>
        <v>3.5293495999999993</v>
      </c>
      <c r="L58" s="79" t="s">
        <v>230</v>
      </c>
      <c r="M58" s="80">
        <v>42.1</v>
      </c>
      <c r="N58" s="17">
        <f t="shared" si="17"/>
        <v>56.414000000000009</v>
      </c>
      <c r="O58" s="17">
        <f t="shared" si="18"/>
        <v>67.053680400000005</v>
      </c>
      <c r="P58" s="17">
        <f t="shared" si="19"/>
        <v>199.10472833439999</v>
      </c>
      <c r="Q58" s="17">
        <f t="shared" si="20"/>
        <v>199.10472833439999</v>
      </c>
      <c r="R58" s="49"/>
    </row>
    <row r="59" spans="2:18" x14ac:dyDescent="0.25">
      <c r="B59" s="48">
        <f>IF(F59&lt;&gt;"",1+MAX($B$22:B58),"")</f>
        <v>21</v>
      </c>
      <c r="C59" s="131"/>
      <c r="D59" s="8" t="s">
        <v>54</v>
      </c>
      <c r="E59" s="23" t="s">
        <v>49</v>
      </c>
      <c r="F59" s="71">
        <f>((34)*0.786*3)/27</f>
        <v>2.9693333333333332</v>
      </c>
      <c r="G59" s="75"/>
      <c r="H59" s="75">
        <f t="shared" si="11"/>
        <v>0</v>
      </c>
      <c r="I59" s="75">
        <f t="shared" si="12"/>
        <v>0</v>
      </c>
      <c r="J59" s="15">
        <v>0.29749999999999999</v>
      </c>
      <c r="K59" s="10">
        <f t="shared" si="13"/>
        <v>0.88337666666666659</v>
      </c>
      <c r="L59" s="79" t="s">
        <v>230</v>
      </c>
      <c r="M59" s="80">
        <v>42.1</v>
      </c>
      <c r="N59" s="17">
        <f t="shared" si="17"/>
        <v>56.414000000000009</v>
      </c>
      <c r="O59" s="17">
        <f t="shared" si="18"/>
        <v>16.783165</v>
      </c>
      <c r="P59" s="17">
        <f t="shared" si="19"/>
        <v>49.834811273333329</v>
      </c>
      <c r="Q59" s="17">
        <f t="shared" si="20"/>
        <v>49.834811273333329</v>
      </c>
      <c r="R59" s="49"/>
    </row>
    <row r="60" spans="2:18" x14ac:dyDescent="0.25">
      <c r="B60" s="48" t="str">
        <f>IF(F60&lt;&gt;"",1+MAX($B$22:B59),"")</f>
        <v/>
      </c>
      <c r="C60" s="52"/>
      <c r="D60" s="8"/>
      <c r="E60" s="23"/>
      <c r="F60" s="39"/>
      <c r="G60" s="17"/>
      <c r="H60" s="17">
        <f t="shared" si="11"/>
        <v>0</v>
      </c>
      <c r="I60" s="17">
        <f t="shared" si="12"/>
        <v>0</v>
      </c>
      <c r="J60" s="15"/>
      <c r="K60" s="10">
        <f t="shared" si="13"/>
        <v>0</v>
      </c>
      <c r="L60" s="10"/>
      <c r="M60" s="17"/>
      <c r="N60" s="17">
        <f t="shared" si="17"/>
        <v>0</v>
      </c>
      <c r="O60" s="17">
        <f t="shared" si="18"/>
        <v>0</v>
      </c>
      <c r="P60" s="17">
        <f t="shared" si="19"/>
        <v>0</v>
      </c>
      <c r="Q60" s="17">
        <f t="shared" si="20"/>
        <v>0</v>
      </c>
      <c r="R60" s="49"/>
    </row>
    <row r="61" spans="2:18" x14ac:dyDescent="0.25">
      <c r="B61" s="63" t="str">
        <f>IF(F61&lt;&gt;"",1+MAX($B$22:B60),"")</f>
        <v/>
      </c>
      <c r="C61" s="64"/>
      <c r="D61" s="65" t="s">
        <v>142</v>
      </c>
      <c r="E61" s="23"/>
      <c r="F61" s="39"/>
      <c r="G61" s="17"/>
      <c r="H61" s="17">
        <f t="shared" si="11"/>
        <v>0</v>
      </c>
      <c r="I61" s="17">
        <f t="shared" si="12"/>
        <v>0</v>
      </c>
      <c r="J61" s="15"/>
      <c r="K61" s="10">
        <f t="shared" si="13"/>
        <v>0</v>
      </c>
      <c r="L61" s="10"/>
      <c r="M61" s="17"/>
      <c r="N61" s="17">
        <f t="shared" si="17"/>
        <v>0</v>
      </c>
      <c r="O61" s="17">
        <f t="shared" si="18"/>
        <v>0</v>
      </c>
      <c r="P61" s="17">
        <f t="shared" si="19"/>
        <v>0</v>
      </c>
      <c r="Q61" s="17">
        <f t="shared" si="20"/>
        <v>0</v>
      </c>
      <c r="R61" s="49"/>
    </row>
    <row r="62" spans="2:18" ht="55.2" x14ac:dyDescent="0.25">
      <c r="B62" s="48">
        <f>IF(F62&lt;&gt;"",1+MAX($B$22:B61),"")</f>
        <v>22</v>
      </c>
      <c r="C62" s="52" t="s">
        <v>140</v>
      </c>
      <c r="D62" s="8" t="s">
        <v>143</v>
      </c>
      <c r="E62" s="23" t="s">
        <v>121</v>
      </c>
      <c r="F62" s="39">
        <v>4</v>
      </c>
      <c r="G62" s="17">
        <v>185</v>
      </c>
      <c r="H62" s="17">
        <f t="shared" si="11"/>
        <v>166.5</v>
      </c>
      <c r="I62" s="17">
        <f t="shared" si="12"/>
        <v>666</v>
      </c>
      <c r="J62" s="15">
        <v>1.7250000000000001</v>
      </c>
      <c r="K62" s="10">
        <f t="shared" si="13"/>
        <v>6.9</v>
      </c>
      <c r="L62" s="79" t="s">
        <v>236</v>
      </c>
      <c r="M62" s="80">
        <v>54.23</v>
      </c>
      <c r="N62" s="17">
        <f t="shared" si="17"/>
        <v>72.668199999999999</v>
      </c>
      <c r="O62" s="17">
        <f t="shared" si="18"/>
        <v>125.35264500000001</v>
      </c>
      <c r="P62" s="17">
        <f t="shared" si="19"/>
        <v>501.41058000000004</v>
      </c>
      <c r="Q62" s="17">
        <f t="shared" si="20"/>
        <v>1167.41058</v>
      </c>
      <c r="R62" s="49"/>
    </row>
    <row r="63" spans="2:18" x14ac:dyDescent="0.25">
      <c r="B63" s="48" t="str">
        <f>IF(F63&lt;&gt;"",1+MAX($B$22:B62),"")</f>
        <v/>
      </c>
      <c r="C63" s="52"/>
      <c r="D63" s="50"/>
      <c r="E63" s="23"/>
      <c r="F63" s="39"/>
      <c r="G63" s="17"/>
      <c r="H63" s="17">
        <f t="shared" si="11"/>
        <v>0</v>
      </c>
      <c r="I63" s="17">
        <f t="shared" si="12"/>
        <v>0</v>
      </c>
      <c r="J63" s="15"/>
      <c r="K63" s="10">
        <f t="shared" si="13"/>
        <v>0</v>
      </c>
      <c r="L63" s="10"/>
      <c r="M63" s="17"/>
      <c r="N63" s="17">
        <f t="shared" si="17"/>
        <v>0</v>
      </c>
      <c r="O63" s="17">
        <f t="shared" si="18"/>
        <v>0</v>
      </c>
      <c r="P63" s="17">
        <f t="shared" si="19"/>
        <v>0</v>
      </c>
      <c r="Q63" s="17">
        <f t="shared" si="20"/>
        <v>0</v>
      </c>
      <c r="R63" s="49"/>
    </row>
    <row r="64" spans="2:18" x14ac:dyDescent="0.25">
      <c r="B64" s="63" t="str">
        <f>IF(F64&lt;&gt;"",1+MAX($B$22:B63),"")</f>
        <v/>
      </c>
      <c r="C64" s="64"/>
      <c r="D64" s="65" t="s">
        <v>144</v>
      </c>
      <c r="E64" s="23"/>
      <c r="F64" s="39"/>
      <c r="G64" s="17"/>
      <c r="H64" s="17">
        <f t="shared" si="11"/>
        <v>0</v>
      </c>
      <c r="I64" s="17">
        <f t="shared" si="12"/>
        <v>0</v>
      </c>
      <c r="J64" s="15"/>
      <c r="K64" s="10">
        <f t="shared" si="13"/>
        <v>0</v>
      </c>
      <c r="L64" s="10"/>
      <c r="M64" s="17"/>
      <c r="N64" s="17">
        <f t="shared" si="17"/>
        <v>0</v>
      </c>
      <c r="O64" s="17">
        <f t="shared" si="18"/>
        <v>0</v>
      </c>
      <c r="P64" s="17">
        <f t="shared" si="19"/>
        <v>0</v>
      </c>
      <c r="Q64" s="17">
        <f t="shared" si="20"/>
        <v>0</v>
      </c>
      <c r="R64" s="49"/>
    </row>
    <row r="65" spans="2:18" x14ac:dyDescent="0.25">
      <c r="B65" s="48">
        <f>IF(F65&lt;&gt;"",1+MAX($B$22:B64),"")</f>
        <v>23</v>
      </c>
      <c r="C65" s="52" t="s">
        <v>140</v>
      </c>
      <c r="D65" s="8" t="s">
        <v>145</v>
      </c>
      <c r="E65" s="23" t="s">
        <v>50</v>
      </c>
      <c r="F65" s="39">
        <v>83.5</v>
      </c>
      <c r="G65" s="17">
        <v>51.5</v>
      </c>
      <c r="H65" s="17">
        <f t="shared" si="11"/>
        <v>46.35</v>
      </c>
      <c r="I65" s="17">
        <f t="shared" si="12"/>
        <v>3870.2249999999999</v>
      </c>
      <c r="J65" s="15">
        <v>0.186</v>
      </c>
      <c r="K65" s="10">
        <f t="shared" si="13"/>
        <v>15.531000000000001</v>
      </c>
      <c r="L65" s="79" t="s">
        <v>231</v>
      </c>
      <c r="M65" s="80">
        <v>62.74</v>
      </c>
      <c r="N65" s="17">
        <f t="shared" si="17"/>
        <v>84.071600000000004</v>
      </c>
      <c r="O65" s="17">
        <f t="shared" si="18"/>
        <v>15.637317600000001</v>
      </c>
      <c r="P65" s="17">
        <f t="shared" si="19"/>
        <v>1305.7160196000002</v>
      </c>
      <c r="Q65" s="17">
        <f t="shared" si="20"/>
        <v>5175.9410195999999</v>
      </c>
      <c r="R65" s="49"/>
    </row>
    <row r="66" spans="2:18" x14ac:dyDescent="0.25">
      <c r="B66" s="48" t="str">
        <f>IF(F66&lt;&gt;"",1+MAX($B$22:B65),"")</f>
        <v/>
      </c>
      <c r="C66" s="52"/>
      <c r="D66" s="50"/>
      <c r="E66" s="23"/>
      <c r="F66" s="39"/>
      <c r="G66" s="17"/>
      <c r="H66" s="17">
        <f t="shared" si="11"/>
        <v>0</v>
      </c>
      <c r="I66" s="17">
        <f t="shared" si="12"/>
        <v>0</v>
      </c>
      <c r="J66" s="15"/>
      <c r="K66" s="10">
        <f t="shared" si="13"/>
        <v>0</v>
      </c>
      <c r="L66" s="10"/>
      <c r="M66" s="17"/>
      <c r="N66" s="17">
        <f t="shared" si="17"/>
        <v>0</v>
      </c>
      <c r="O66" s="17">
        <f t="shared" si="18"/>
        <v>0</v>
      </c>
      <c r="P66" s="17">
        <f t="shared" si="19"/>
        <v>0</v>
      </c>
      <c r="Q66" s="17">
        <f t="shared" si="20"/>
        <v>0</v>
      </c>
      <c r="R66" s="49"/>
    </row>
    <row r="67" spans="2:18" x14ac:dyDescent="0.25">
      <c r="B67" s="63" t="str">
        <f>IF(F67&lt;&gt;"",1+MAX($B$22:B66),"")</f>
        <v/>
      </c>
      <c r="C67" s="64"/>
      <c r="D67" s="65" t="s">
        <v>146</v>
      </c>
      <c r="E67" s="23"/>
      <c r="F67" s="39"/>
      <c r="G67" s="17"/>
      <c r="H67" s="17">
        <f t="shared" si="11"/>
        <v>0</v>
      </c>
      <c r="I67" s="17">
        <f t="shared" si="12"/>
        <v>0</v>
      </c>
      <c r="J67" s="15"/>
      <c r="K67" s="10">
        <f t="shared" si="13"/>
        <v>0</v>
      </c>
      <c r="L67" s="10"/>
      <c r="M67" s="17"/>
      <c r="N67" s="17">
        <f t="shared" si="17"/>
        <v>0</v>
      </c>
      <c r="O67" s="17">
        <f t="shared" si="18"/>
        <v>0</v>
      </c>
      <c r="P67" s="17">
        <f t="shared" si="19"/>
        <v>0</v>
      </c>
      <c r="Q67" s="17">
        <f t="shared" si="20"/>
        <v>0</v>
      </c>
      <c r="R67" s="49"/>
    </row>
    <row r="68" spans="2:18" ht="55.2" x14ac:dyDescent="0.25">
      <c r="B68" s="48">
        <f>IF(F68&lt;&gt;"",1+MAX($B$22:B67),"")</f>
        <v>24</v>
      </c>
      <c r="C68" s="52" t="s">
        <v>135</v>
      </c>
      <c r="D68" s="8" t="s">
        <v>198</v>
      </c>
      <c r="E68" s="23" t="s">
        <v>50</v>
      </c>
      <c r="F68" s="39">
        <f>520</f>
        <v>520</v>
      </c>
      <c r="G68" s="17">
        <v>2.625</v>
      </c>
      <c r="H68" s="17">
        <f t="shared" si="11"/>
        <v>2.3625000000000003</v>
      </c>
      <c r="I68" s="17">
        <f t="shared" si="12"/>
        <v>1228.5000000000002</v>
      </c>
      <c r="J68" s="15">
        <v>3.6999999999999998E-2</v>
      </c>
      <c r="K68" s="10">
        <f t="shared" si="13"/>
        <v>19.239999999999998</v>
      </c>
      <c r="L68" s="10" t="s">
        <v>222</v>
      </c>
      <c r="M68" s="17">
        <v>53.15</v>
      </c>
      <c r="N68" s="17">
        <f t="shared" si="17"/>
        <v>71.221000000000004</v>
      </c>
      <c r="O68" s="17">
        <f t="shared" si="18"/>
        <v>2.6351770000000001</v>
      </c>
      <c r="P68" s="17">
        <f t="shared" si="19"/>
        <v>1370.29204</v>
      </c>
      <c r="Q68" s="17">
        <f t="shared" si="20"/>
        <v>2598.7920400000003</v>
      </c>
      <c r="R68" s="49"/>
    </row>
    <row r="69" spans="2:18" x14ac:dyDescent="0.25">
      <c r="B69" s="48" t="str">
        <f>IF(F69&lt;&gt;"",1+MAX($B$22:B68),"")</f>
        <v/>
      </c>
      <c r="C69" s="52"/>
      <c r="D69" s="50"/>
      <c r="E69" s="23"/>
      <c r="F69" s="39"/>
      <c r="G69" s="17"/>
      <c r="H69" s="17">
        <f t="shared" si="11"/>
        <v>0</v>
      </c>
      <c r="I69" s="17">
        <f t="shared" si="12"/>
        <v>0</v>
      </c>
      <c r="J69" s="15"/>
      <c r="K69" s="10">
        <f t="shared" si="13"/>
        <v>0</v>
      </c>
      <c r="L69" s="10"/>
      <c r="M69" s="17"/>
      <c r="N69" s="17">
        <f t="shared" si="17"/>
        <v>0</v>
      </c>
      <c r="O69" s="17">
        <f t="shared" si="18"/>
        <v>0</v>
      </c>
      <c r="P69" s="17">
        <f t="shared" si="19"/>
        <v>0</v>
      </c>
      <c r="Q69" s="17">
        <f t="shared" si="20"/>
        <v>0</v>
      </c>
      <c r="R69" s="49"/>
    </row>
    <row r="70" spans="2:18" x14ac:dyDescent="0.25">
      <c r="B70" s="63" t="str">
        <f>IF(F70&lt;&gt;"",1+MAX($B$22:B69),"")</f>
        <v/>
      </c>
      <c r="C70" s="64"/>
      <c r="D70" s="65" t="s">
        <v>157</v>
      </c>
      <c r="E70" s="23"/>
      <c r="F70" s="39"/>
      <c r="G70" s="17"/>
      <c r="H70" s="17">
        <f t="shared" si="11"/>
        <v>0</v>
      </c>
      <c r="I70" s="17">
        <f t="shared" si="12"/>
        <v>0</v>
      </c>
      <c r="J70" s="15"/>
      <c r="K70" s="10">
        <f t="shared" si="13"/>
        <v>0</v>
      </c>
      <c r="L70" s="10"/>
      <c r="M70" s="17"/>
      <c r="N70" s="17">
        <f t="shared" si="17"/>
        <v>0</v>
      </c>
      <c r="O70" s="17">
        <f t="shared" si="18"/>
        <v>0</v>
      </c>
      <c r="P70" s="17">
        <f t="shared" si="19"/>
        <v>0</v>
      </c>
      <c r="Q70" s="17">
        <f t="shared" si="20"/>
        <v>0</v>
      </c>
      <c r="R70" s="49"/>
    </row>
    <row r="71" spans="2:18" ht="82.8" x14ac:dyDescent="0.25">
      <c r="B71" s="48">
        <f>IF(F71&lt;&gt;"",1+MAX($B$22:B70),"")</f>
        <v>25</v>
      </c>
      <c r="C71" s="52" t="s">
        <v>148</v>
      </c>
      <c r="D71" s="8" t="s">
        <v>158</v>
      </c>
      <c r="E71" s="23" t="s">
        <v>121</v>
      </c>
      <c r="F71" s="39">
        <v>4</v>
      </c>
      <c r="G71" s="17">
        <v>4850</v>
      </c>
      <c r="H71" s="17">
        <f t="shared" si="11"/>
        <v>4365</v>
      </c>
      <c r="I71" s="17">
        <f t="shared" si="12"/>
        <v>17460</v>
      </c>
      <c r="J71" s="15">
        <v>66</v>
      </c>
      <c r="K71" s="10">
        <f t="shared" si="13"/>
        <v>264</v>
      </c>
      <c r="L71" s="79" t="s">
        <v>237</v>
      </c>
      <c r="M71" s="80">
        <v>56.41</v>
      </c>
      <c r="N71" s="17">
        <f t="shared" si="17"/>
        <v>75.589399999999998</v>
      </c>
      <c r="O71" s="17">
        <f t="shared" si="18"/>
        <v>4988.9003999999995</v>
      </c>
      <c r="P71" s="17">
        <f t="shared" si="19"/>
        <v>19955.601599999998</v>
      </c>
      <c r="Q71" s="17">
        <f t="shared" si="20"/>
        <v>37415.601599999995</v>
      </c>
      <c r="R71" s="49"/>
    </row>
    <row r="72" spans="2:18" x14ac:dyDescent="0.25">
      <c r="B72" s="48" t="str">
        <f>IF(F72&lt;&gt;"",1+MAX($B$22:B71),"")</f>
        <v/>
      </c>
      <c r="C72" s="52"/>
      <c r="D72" s="50"/>
      <c r="E72" s="23"/>
      <c r="F72" s="39"/>
      <c r="G72" s="17"/>
      <c r="H72" s="17">
        <f t="shared" si="11"/>
        <v>0</v>
      </c>
      <c r="I72" s="17">
        <f t="shared" si="12"/>
        <v>0</v>
      </c>
      <c r="J72" s="15"/>
      <c r="K72" s="10">
        <f t="shared" si="13"/>
        <v>0</v>
      </c>
      <c r="L72" s="10"/>
      <c r="M72" s="17"/>
      <c r="N72" s="17">
        <f t="shared" si="17"/>
        <v>0</v>
      </c>
      <c r="O72" s="17">
        <f t="shared" si="18"/>
        <v>0</v>
      </c>
      <c r="P72" s="17">
        <f t="shared" si="19"/>
        <v>0</v>
      </c>
      <c r="Q72" s="17">
        <f t="shared" si="20"/>
        <v>0</v>
      </c>
      <c r="R72" s="49"/>
    </row>
    <row r="73" spans="2:18" x14ac:dyDescent="0.25">
      <c r="B73" s="63" t="str">
        <f>IF(F73&lt;&gt;"",1+MAX($B$22:B72),"")</f>
        <v/>
      </c>
      <c r="C73" s="64"/>
      <c r="D73" s="65" t="s">
        <v>159</v>
      </c>
      <c r="E73" s="23"/>
      <c r="F73" s="39"/>
      <c r="G73" s="17"/>
      <c r="H73" s="17">
        <f t="shared" si="11"/>
        <v>0</v>
      </c>
      <c r="I73" s="17">
        <f t="shared" si="12"/>
        <v>0</v>
      </c>
      <c r="J73" s="15"/>
      <c r="K73" s="10">
        <f t="shared" si="13"/>
        <v>0</v>
      </c>
      <c r="L73" s="10"/>
      <c r="M73" s="17"/>
      <c r="N73" s="17">
        <f t="shared" si="17"/>
        <v>0</v>
      </c>
      <c r="O73" s="17">
        <f t="shared" si="18"/>
        <v>0</v>
      </c>
      <c r="P73" s="17">
        <f t="shared" si="19"/>
        <v>0</v>
      </c>
      <c r="Q73" s="17">
        <f t="shared" si="20"/>
        <v>0</v>
      </c>
      <c r="R73" s="49"/>
    </row>
    <row r="74" spans="2:18" x14ac:dyDescent="0.25">
      <c r="B74" s="48">
        <f>IF(F74&lt;&gt;"",1+MAX($B$22:B73),"")</f>
        <v>26</v>
      </c>
      <c r="C74" s="52" t="s">
        <v>153</v>
      </c>
      <c r="D74" s="8" t="s">
        <v>199</v>
      </c>
      <c r="E74" s="23" t="s">
        <v>121</v>
      </c>
      <c r="F74" s="39">
        <v>1</v>
      </c>
      <c r="G74" s="17">
        <v>3250</v>
      </c>
      <c r="H74" s="17">
        <f t="shared" si="11"/>
        <v>2925</v>
      </c>
      <c r="I74" s="17">
        <f t="shared" si="12"/>
        <v>2925</v>
      </c>
      <c r="J74" s="15">
        <v>56</v>
      </c>
      <c r="K74" s="10">
        <f t="shared" si="13"/>
        <v>56</v>
      </c>
      <c r="L74" s="79" t="s">
        <v>248</v>
      </c>
      <c r="M74" s="80">
        <v>70.569999999999993</v>
      </c>
      <c r="N74" s="17">
        <f t="shared" si="17"/>
        <v>94.563800000000001</v>
      </c>
      <c r="O74" s="17">
        <f t="shared" si="18"/>
        <v>5295.5727999999999</v>
      </c>
      <c r="P74" s="17">
        <f t="shared" si="19"/>
        <v>5295.5727999999999</v>
      </c>
      <c r="Q74" s="17">
        <f t="shared" si="20"/>
        <v>8220.5727999999999</v>
      </c>
      <c r="R74" s="49"/>
    </row>
    <row r="75" spans="2:18" x14ac:dyDescent="0.25">
      <c r="B75" s="48" t="str">
        <f>IF(F75&lt;&gt;"",1+MAX($B$22:B74),"")</f>
        <v/>
      </c>
      <c r="C75" s="52"/>
      <c r="D75" s="50"/>
      <c r="E75" s="23"/>
      <c r="F75" s="39"/>
      <c r="G75" s="17"/>
      <c r="H75" s="17">
        <f t="shared" si="11"/>
        <v>0</v>
      </c>
      <c r="I75" s="17">
        <f t="shared" si="12"/>
        <v>0</v>
      </c>
      <c r="J75" s="15"/>
      <c r="K75" s="10">
        <f t="shared" si="13"/>
        <v>0</v>
      </c>
      <c r="L75" s="10"/>
      <c r="M75" s="17"/>
      <c r="N75" s="17">
        <f t="shared" si="17"/>
        <v>0</v>
      </c>
      <c r="O75" s="17">
        <f t="shared" si="18"/>
        <v>0</v>
      </c>
      <c r="P75" s="17">
        <f t="shared" si="19"/>
        <v>0</v>
      </c>
      <c r="Q75" s="17">
        <f t="shared" si="20"/>
        <v>0</v>
      </c>
      <c r="R75" s="49"/>
    </row>
    <row r="76" spans="2:18" x14ac:dyDescent="0.25">
      <c r="B76" s="63" t="str">
        <f>IF(F76&lt;&gt;"",1+MAX($B$22:B75),"")</f>
        <v/>
      </c>
      <c r="C76" s="64"/>
      <c r="D76" s="65" t="s">
        <v>200</v>
      </c>
      <c r="E76" s="23"/>
      <c r="F76" s="39"/>
      <c r="G76" s="17"/>
      <c r="H76" s="17">
        <f t="shared" si="11"/>
        <v>0</v>
      </c>
      <c r="I76" s="17">
        <f t="shared" si="12"/>
        <v>0</v>
      </c>
      <c r="J76" s="15"/>
      <c r="K76" s="10">
        <f t="shared" si="13"/>
        <v>0</v>
      </c>
      <c r="L76" s="10"/>
      <c r="M76" s="17"/>
      <c r="N76" s="17">
        <f t="shared" si="17"/>
        <v>0</v>
      </c>
      <c r="O76" s="17">
        <f t="shared" si="18"/>
        <v>0</v>
      </c>
      <c r="P76" s="17">
        <f t="shared" si="19"/>
        <v>0</v>
      </c>
      <c r="Q76" s="17">
        <f t="shared" si="20"/>
        <v>0</v>
      </c>
      <c r="R76" s="49"/>
    </row>
    <row r="77" spans="2:18" x14ac:dyDescent="0.25">
      <c r="B77" s="48">
        <f>IF(F77&lt;&gt;"",1+MAX($B$22:B76),"")</f>
        <v>27</v>
      </c>
      <c r="C77" s="52" t="s">
        <v>153</v>
      </c>
      <c r="D77" s="8" t="s">
        <v>201</v>
      </c>
      <c r="E77" s="23" t="s">
        <v>50</v>
      </c>
      <c r="F77" s="39">
        <v>112</v>
      </c>
      <c r="G77" s="17">
        <v>1.2</v>
      </c>
      <c r="H77" s="17">
        <f t="shared" si="11"/>
        <v>1.08</v>
      </c>
      <c r="I77" s="17">
        <f t="shared" si="12"/>
        <v>120.96000000000001</v>
      </c>
      <c r="J77" s="15">
        <v>4.4999999999999998E-2</v>
      </c>
      <c r="K77" s="10">
        <f t="shared" si="13"/>
        <v>5.04</v>
      </c>
      <c r="L77" s="79" t="s">
        <v>239</v>
      </c>
      <c r="M77" s="80">
        <v>44.4</v>
      </c>
      <c r="N77" s="17">
        <f t="shared" si="17"/>
        <v>59.496000000000002</v>
      </c>
      <c r="O77" s="17">
        <f t="shared" si="18"/>
        <v>2.6773199999999999</v>
      </c>
      <c r="P77" s="17">
        <f t="shared" si="19"/>
        <v>299.85983999999996</v>
      </c>
      <c r="Q77" s="17">
        <f t="shared" si="20"/>
        <v>420.81984</v>
      </c>
      <c r="R77" s="49"/>
    </row>
    <row r="78" spans="2:18" x14ac:dyDescent="0.25">
      <c r="B78" s="48" t="str">
        <f>IF(F78&lt;&gt;"",1+MAX($B$22:B77),"")</f>
        <v/>
      </c>
      <c r="C78" s="52"/>
      <c r="D78" s="50"/>
      <c r="E78" s="23"/>
      <c r="F78" s="39"/>
      <c r="G78" s="17"/>
      <c r="H78" s="17">
        <f t="shared" si="11"/>
        <v>0</v>
      </c>
      <c r="I78" s="17">
        <f t="shared" si="12"/>
        <v>0</v>
      </c>
      <c r="J78" s="15"/>
      <c r="K78" s="10">
        <f t="shared" si="13"/>
        <v>0</v>
      </c>
      <c r="L78" s="10"/>
      <c r="M78" s="17"/>
      <c r="N78" s="17">
        <f t="shared" si="17"/>
        <v>0</v>
      </c>
      <c r="O78" s="17">
        <f t="shared" si="18"/>
        <v>0</v>
      </c>
      <c r="P78" s="17">
        <f t="shared" si="19"/>
        <v>0</v>
      </c>
      <c r="Q78" s="17">
        <f t="shared" si="20"/>
        <v>0</v>
      </c>
      <c r="R78" s="49"/>
    </row>
    <row r="79" spans="2:18" x14ac:dyDescent="0.25">
      <c r="B79" s="63" t="str">
        <f>IF(F79&lt;&gt;"",1+MAX($B$22:B78),"")</f>
        <v/>
      </c>
      <c r="C79" s="64"/>
      <c r="D79" s="65" t="s">
        <v>160</v>
      </c>
      <c r="E79" s="23"/>
      <c r="F79" s="39"/>
      <c r="G79" s="17"/>
      <c r="H79" s="17">
        <f t="shared" si="11"/>
        <v>0</v>
      </c>
      <c r="I79" s="17">
        <f t="shared" si="12"/>
        <v>0</v>
      </c>
      <c r="J79" s="15"/>
      <c r="K79" s="10">
        <f t="shared" si="13"/>
        <v>0</v>
      </c>
      <c r="L79" s="10"/>
      <c r="M79" s="17"/>
      <c r="N79" s="17">
        <f t="shared" si="17"/>
        <v>0</v>
      </c>
      <c r="O79" s="17">
        <f t="shared" si="18"/>
        <v>0</v>
      </c>
      <c r="P79" s="17">
        <f t="shared" si="19"/>
        <v>0</v>
      </c>
      <c r="Q79" s="17">
        <f t="shared" si="20"/>
        <v>0</v>
      </c>
      <c r="R79" s="49"/>
    </row>
    <row r="80" spans="2:18" ht="82.8" x14ac:dyDescent="0.25">
      <c r="B80" s="48">
        <f>IF(F80&lt;&gt;"",1+MAX($B$22:B79),"")</f>
        <v>28</v>
      </c>
      <c r="C80" s="52" t="s">
        <v>140</v>
      </c>
      <c r="D80" s="8" t="s">
        <v>161</v>
      </c>
      <c r="E80" s="23" t="s">
        <v>48</v>
      </c>
      <c r="F80" s="39">
        <v>551</v>
      </c>
      <c r="G80" s="17">
        <v>15.5</v>
      </c>
      <c r="H80" s="17">
        <f t="shared" si="11"/>
        <v>13.950000000000001</v>
      </c>
      <c r="I80" s="17">
        <f t="shared" si="12"/>
        <v>7686.4500000000007</v>
      </c>
      <c r="J80" s="15">
        <v>0.54</v>
      </c>
      <c r="K80" s="10">
        <f t="shared" si="13"/>
        <v>297.54000000000002</v>
      </c>
      <c r="L80" s="79" t="s">
        <v>245</v>
      </c>
      <c r="M80" s="80">
        <v>47.93</v>
      </c>
      <c r="N80" s="17">
        <f t="shared" si="17"/>
        <v>64.226200000000006</v>
      </c>
      <c r="O80" s="17">
        <f t="shared" si="18"/>
        <v>34.682148000000005</v>
      </c>
      <c r="P80" s="17">
        <f t="shared" si="19"/>
        <v>19109.863548000001</v>
      </c>
      <c r="Q80" s="17">
        <f t="shared" si="20"/>
        <v>26796.313548000002</v>
      </c>
      <c r="R80" s="49"/>
    </row>
    <row r="81" spans="2:18" x14ac:dyDescent="0.25">
      <c r="B81" s="48" t="str">
        <f>IF(F81&lt;&gt;"",1+MAX($B$22:B80),"")</f>
        <v/>
      </c>
      <c r="C81" s="52"/>
      <c r="D81" s="50"/>
      <c r="E81" s="23"/>
      <c r="F81" s="39"/>
      <c r="G81" s="17"/>
      <c r="H81" s="17">
        <f t="shared" si="11"/>
        <v>0</v>
      </c>
      <c r="I81" s="17">
        <f t="shared" si="12"/>
        <v>0</v>
      </c>
      <c r="J81" s="15"/>
      <c r="K81" s="10">
        <f t="shared" si="13"/>
        <v>0</v>
      </c>
      <c r="L81" s="10"/>
      <c r="M81" s="17"/>
      <c r="N81" s="17">
        <f t="shared" si="17"/>
        <v>0</v>
      </c>
      <c r="O81" s="17">
        <f t="shared" si="18"/>
        <v>0</v>
      </c>
      <c r="P81" s="17">
        <f t="shared" si="19"/>
        <v>0</v>
      </c>
      <c r="Q81" s="17">
        <f t="shared" si="20"/>
        <v>0</v>
      </c>
      <c r="R81" s="49"/>
    </row>
    <row r="82" spans="2:18" x14ac:dyDescent="0.25">
      <c r="B82" s="63" t="str">
        <f>IF(F82&lt;&gt;"",1+MAX($B$22:B81),"")</f>
        <v/>
      </c>
      <c r="C82" s="64"/>
      <c r="D82" s="65" t="s">
        <v>162</v>
      </c>
      <c r="E82" s="23"/>
      <c r="F82" s="39"/>
      <c r="G82" s="17"/>
      <c r="H82" s="17">
        <f t="shared" si="11"/>
        <v>0</v>
      </c>
      <c r="I82" s="17">
        <f t="shared" si="12"/>
        <v>0</v>
      </c>
      <c r="J82" s="15"/>
      <c r="K82" s="10">
        <f t="shared" si="13"/>
        <v>0</v>
      </c>
      <c r="L82" s="10"/>
      <c r="M82" s="17"/>
      <c r="N82" s="17">
        <f t="shared" si="17"/>
        <v>0</v>
      </c>
      <c r="O82" s="17">
        <f t="shared" si="18"/>
        <v>0</v>
      </c>
      <c r="P82" s="17">
        <f t="shared" si="19"/>
        <v>0</v>
      </c>
      <c r="Q82" s="17">
        <f t="shared" si="20"/>
        <v>0</v>
      </c>
      <c r="R82" s="49"/>
    </row>
    <row r="83" spans="2:18" x14ac:dyDescent="0.25">
      <c r="B83" s="48">
        <f>IF(F83&lt;&gt;"",1+MAX($B$22:B82),"")</f>
        <v>29</v>
      </c>
      <c r="C83" s="52" t="s">
        <v>140</v>
      </c>
      <c r="D83" s="8" t="s">
        <v>202</v>
      </c>
      <c r="E83" s="23" t="s">
        <v>48</v>
      </c>
      <c r="F83" s="39">
        <v>35</v>
      </c>
      <c r="G83" s="17">
        <v>18.350000000000001</v>
      </c>
      <c r="H83" s="17">
        <f t="shared" si="11"/>
        <v>16.515000000000001</v>
      </c>
      <c r="I83" s="17">
        <f t="shared" si="12"/>
        <v>578.02499999999998</v>
      </c>
      <c r="J83" s="15">
        <v>0.04</v>
      </c>
      <c r="K83" s="10">
        <f t="shared" si="13"/>
        <v>1.4000000000000001</v>
      </c>
      <c r="L83" s="79" t="s">
        <v>238</v>
      </c>
      <c r="M83" s="80">
        <v>42.1</v>
      </c>
      <c r="N83" s="17">
        <f t="shared" si="17"/>
        <v>56.414000000000009</v>
      </c>
      <c r="O83" s="17">
        <f t="shared" si="18"/>
        <v>2.2565600000000003</v>
      </c>
      <c r="P83" s="17">
        <f t="shared" si="19"/>
        <v>78.979600000000005</v>
      </c>
      <c r="Q83" s="17">
        <f t="shared" si="20"/>
        <v>657.00459999999998</v>
      </c>
      <c r="R83" s="49"/>
    </row>
    <row r="84" spans="2:18" x14ac:dyDescent="0.25">
      <c r="B84" s="48" t="str">
        <f>IF(F84&lt;&gt;"",1+MAX($B$22:B83),"")</f>
        <v/>
      </c>
      <c r="C84" s="52"/>
      <c r="D84" s="50"/>
      <c r="E84" s="23"/>
      <c r="F84" s="39"/>
      <c r="G84" s="17"/>
      <c r="H84" s="17">
        <f t="shared" si="11"/>
        <v>0</v>
      </c>
      <c r="I84" s="17">
        <f t="shared" si="12"/>
        <v>0</v>
      </c>
      <c r="J84" s="15"/>
      <c r="K84" s="10">
        <f t="shared" si="13"/>
        <v>0</v>
      </c>
      <c r="L84" s="10"/>
      <c r="M84" s="17"/>
      <c r="N84" s="17">
        <f t="shared" si="17"/>
        <v>0</v>
      </c>
      <c r="O84" s="17">
        <f t="shared" si="18"/>
        <v>0</v>
      </c>
      <c r="P84" s="17">
        <f t="shared" si="19"/>
        <v>0</v>
      </c>
      <c r="Q84" s="17">
        <f t="shared" si="20"/>
        <v>0</v>
      </c>
      <c r="R84" s="49"/>
    </row>
    <row r="85" spans="2:18" x14ac:dyDescent="0.25">
      <c r="B85" s="63" t="str">
        <f>IF(F85&lt;&gt;"",1+MAX($B$22:B84),"")</f>
        <v/>
      </c>
      <c r="C85" s="64"/>
      <c r="D85" s="65" t="s">
        <v>261</v>
      </c>
      <c r="E85" s="23"/>
      <c r="F85" s="39"/>
      <c r="G85" s="17"/>
      <c r="H85" s="17">
        <f t="shared" ref="H85:H94" si="21">G85*$T$2</f>
        <v>0</v>
      </c>
      <c r="I85" s="17">
        <f t="shared" ref="I85:I94" si="22">F85*H85</f>
        <v>0</v>
      </c>
      <c r="J85" s="15"/>
      <c r="K85" s="10">
        <f t="shared" ref="K85:K94" si="23">F85*J85</f>
        <v>0</v>
      </c>
      <c r="L85" s="10"/>
      <c r="M85" s="17"/>
      <c r="N85" s="17">
        <f t="shared" ref="N85:N94" si="24">M85*$U$2</f>
        <v>0</v>
      </c>
      <c r="O85" s="17">
        <f t="shared" ref="O85:O94" si="25">J85*N85</f>
        <v>0</v>
      </c>
      <c r="P85" s="17">
        <f t="shared" ref="P85:P94" si="26">F85*O85</f>
        <v>0</v>
      </c>
      <c r="Q85" s="17">
        <f t="shared" ref="Q85:Q94" si="27">I85+P85</f>
        <v>0</v>
      </c>
      <c r="R85" s="49"/>
    </row>
    <row r="86" spans="2:18" x14ac:dyDescent="0.25">
      <c r="B86" s="84">
        <f>IF(F86&lt;&gt;"",1+MAX($B$22:B85),"")</f>
        <v>30</v>
      </c>
      <c r="C86" s="52" t="s">
        <v>153</v>
      </c>
      <c r="D86" s="8" t="s">
        <v>262</v>
      </c>
      <c r="E86" s="23" t="s">
        <v>121</v>
      </c>
      <c r="F86" s="39">
        <v>4</v>
      </c>
      <c r="G86" s="17">
        <v>225</v>
      </c>
      <c r="H86" s="17">
        <f t="shared" si="21"/>
        <v>202.5</v>
      </c>
      <c r="I86" s="17">
        <f t="shared" si="22"/>
        <v>810</v>
      </c>
      <c r="J86" s="15">
        <v>3</v>
      </c>
      <c r="K86" s="10">
        <f t="shared" si="23"/>
        <v>12</v>
      </c>
      <c r="L86" s="79" t="s">
        <v>238</v>
      </c>
      <c r="M86" s="80">
        <v>42.1</v>
      </c>
      <c r="N86" s="17">
        <f t="shared" si="24"/>
        <v>56.414000000000009</v>
      </c>
      <c r="O86" s="17">
        <f t="shared" si="25"/>
        <v>169.24200000000002</v>
      </c>
      <c r="P86" s="17">
        <f t="shared" si="26"/>
        <v>676.96800000000007</v>
      </c>
      <c r="Q86" s="17">
        <f t="shared" si="27"/>
        <v>1486.9680000000001</v>
      </c>
      <c r="R86" s="49"/>
    </row>
    <row r="87" spans="2:18" x14ac:dyDescent="0.25">
      <c r="B87" s="48" t="str">
        <f>IF(F87&lt;&gt;"",1+MAX($B$22:B86),"")</f>
        <v/>
      </c>
      <c r="C87" s="52"/>
      <c r="D87" s="8"/>
      <c r="E87" s="23"/>
      <c r="F87" s="71"/>
      <c r="G87" s="17"/>
      <c r="H87" s="17"/>
      <c r="I87" s="17"/>
      <c r="J87" s="15"/>
      <c r="K87" s="10">
        <f t="shared" si="23"/>
        <v>0</v>
      </c>
      <c r="L87" s="10"/>
      <c r="M87" s="17"/>
      <c r="N87" s="17">
        <f t="shared" si="24"/>
        <v>0</v>
      </c>
      <c r="O87" s="17">
        <f t="shared" si="25"/>
        <v>0</v>
      </c>
      <c r="P87" s="17">
        <f t="shared" si="26"/>
        <v>0</v>
      </c>
      <c r="Q87" s="17">
        <f t="shared" si="27"/>
        <v>0</v>
      </c>
      <c r="R87" s="49"/>
    </row>
    <row r="88" spans="2:18" x14ac:dyDescent="0.25">
      <c r="B88" s="63" t="str">
        <f>IF(F88&lt;&gt;"",1+MAX($B$22:B87),"")</f>
        <v/>
      </c>
      <c r="C88" s="64"/>
      <c r="D88" s="65" t="s">
        <v>263</v>
      </c>
      <c r="E88" s="23"/>
      <c r="F88" s="39"/>
      <c r="G88" s="17"/>
      <c r="H88" s="17"/>
      <c r="I88" s="17"/>
      <c r="J88" s="15"/>
      <c r="K88" s="10">
        <f t="shared" si="23"/>
        <v>0</v>
      </c>
      <c r="L88" s="10"/>
      <c r="M88" s="17"/>
      <c r="N88" s="17">
        <f t="shared" si="24"/>
        <v>0</v>
      </c>
      <c r="O88" s="17">
        <f t="shared" si="25"/>
        <v>0</v>
      </c>
      <c r="P88" s="17">
        <f t="shared" si="26"/>
        <v>0</v>
      </c>
      <c r="Q88" s="17">
        <f t="shared" si="27"/>
        <v>0</v>
      </c>
      <c r="R88" s="49"/>
    </row>
    <row r="89" spans="2:18" ht="27.6" x14ac:dyDescent="0.25">
      <c r="B89" s="84">
        <f>IF(F89&lt;&gt;"",1+MAX($B$22:B88),"")</f>
        <v>31</v>
      </c>
      <c r="C89" s="52" t="s">
        <v>153</v>
      </c>
      <c r="D89" s="8" t="s">
        <v>264</v>
      </c>
      <c r="E89" s="23" t="s">
        <v>48</v>
      </c>
      <c r="F89" s="39">
        <v>222</v>
      </c>
      <c r="G89" s="17">
        <v>2.85</v>
      </c>
      <c r="H89" s="17">
        <f t="shared" ref="H89" si="28">G89*$T$2</f>
        <v>2.5649999999999999</v>
      </c>
      <c r="I89" s="17">
        <f t="shared" ref="I89" si="29">F89*H89</f>
        <v>569.42999999999995</v>
      </c>
      <c r="J89" s="15">
        <v>2.9000000000000001E-2</v>
      </c>
      <c r="K89" s="10">
        <f t="shared" si="23"/>
        <v>6.4380000000000006</v>
      </c>
      <c r="L89" s="79" t="s">
        <v>269</v>
      </c>
      <c r="M89" s="80">
        <v>104.31</v>
      </c>
      <c r="N89" s="17">
        <f t="shared" si="24"/>
        <v>139.77540000000002</v>
      </c>
      <c r="O89" s="17">
        <f t="shared" si="25"/>
        <v>4.0534866000000012</v>
      </c>
      <c r="P89" s="17">
        <f t="shared" si="26"/>
        <v>899.87402520000023</v>
      </c>
      <c r="Q89" s="17">
        <f t="shared" si="27"/>
        <v>1469.3040252000001</v>
      </c>
      <c r="R89" s="49"/>
    </row>
    <row r="90" spans="2:18" x14ac:dyDescent="0.25">
      <c r="B90" s="48" t="str">
        <f>IF(F90&lt;&gt;"",1+MAX($B$22:B89),"")</f>
        <v/>
      </c>
      <c r="C90" s="52"/>
      <c r="D90" s="8"/>
      <c r="E90" s="23"/>
      <c r="F90" s="71"/>
      <c r="G90" s="17"/>
      <c r="H90" s="17"/>
      <c r="I90" s="17"/>
      <c r="J90" s="15"/>
      <c r="K90" s="10">
        <f t="shared" si="23"/>
        <v>0</v>
      </c>
      <c r="L90" s="10"/>
      <c r="M90" s="17"/>
      <c r="N90" s="17">
        <f t="shared" si="24"/>
        <v>0</v>
      </c>
      <c r="O90" s="17">
        <f t="shared" si="25"/>
        <v>0</v>
      </c>
      <c r="P90" s="17">
        <f t="shared" si="26"/>
        <v>0</v>
      </c>
      <c r="Q90" s="17">
        <f t="shared" si="27"/>
        <v>0</v>
      </c>
      <c r="R90" s="49"/>
    </row>
    <row r="91" spans="2:18" x14ac:dyDescent="0.25">
      <c r="B91" s="63" t="str">
        <f>IF(F91&lt;&gt;"",1+MAX($B$22:B90),"")</f>
        <v/>
      </c>
      <c r="C91" s="64"/>
      <c r="D91" s="65" t="s">
        <v>265</v>
      </c>
      <c r="E91" s="23"/>
      <c r="F91" s="39"/>
      <c r="G91" s="17"/>
      <c r="H91" s="17"/>
      <c r="I91" s="17"/>
      <c r="J91" s="15"/>
      <c r="K91" s="10">
        <f t="shared" si="23"/>
        <v>0</v>
      </c>
      <c r="L91" s="10"/>
      <c r="M91" s="17"/>
      <c r="N91" s="17">
        <f t="shared" si="24"/>
        <v>0</v>
      </c>
      <c r="O91" s="17">
        <f t="shared" si="25"/>
        <v>0</v>
      </c>
      <c r="P91" s="17">
        <f t="shared" si="26"/>
        <v>0</v>
      </c>
      <c r="Q91" s="17">
        <f t="shared" si="27"/>
        <v>0</v>
      </c>
      <c r="R91" s="49"/>
    </row>
    <row r="92" spans="2:18" ht="27.6" x14ac:dyDescent="0.25">
      <c r="B92" s="84">
        <f>IF(F92&lt;&gt;"",1+MAX($B$22:B91),"")</f>
        <v>32</v>
      </c>
      <c r="C92" s="52" t="s">
        <v>153</v>
      </c>
      <c r="D92" s="8" t="s">
        <v>266</v>
      </c>
      <c r="E92" s="23" t="s">
        <v>60</v>
      </c>
      <c r="F92" s="39">
        <v>1</v>
      </c>
      <c r="G92" s="17">
        <v>1250</v>
      </c>
      <c r="H92" s="17">
        <f t="shared" ref="H92" si="30">G92*$T$2</f>
        <v>1125</v>
      </c>
      <c r="I92" s="17">
        <f t="shared" ref="I92" si="31">F92*H92</f>
        <v>1125</v>
      </c>
      <c r="J92" s="15">
        <v>12.25</v>
      </c>
      <c r="K92" s="10">
        <f t="shared" ref="K92" si="32">F92*J92</f>
        <v>12.25</v>
      </c>
      <c r="L92" s="79" t="s">
        <v>238</v>
      </c>
      <c r="M92" s="80">
        <v>42.1</v>
      </c>
      <c r="N92" s="17">
        <f t="shared" ref="N92" si="33">M92*$U$2</f>
        <v>56.414000000000009</v>
      </c>
      <c r="O92" s="17">
        <f t="shared" ref="O92" si="34">J92*N92</f>
        <v>691.07150000000013</v>
      </c>
      <c r="P92" s="17">
        <f t="shared" ref="P92" si="35">F92*O92</f>
        <v>691.07150000000013</v>
      </c>
      <c r="Q92" s="17">
        <f t="shared" ref="Q92" si="36">I92+P92</f>
        <v>1816.0715</v>
      </c>
      <c r="R92" s="49"/>
    </row>
    <row r="93" spans="2:18" x14ac:dyDescent="0.25">
      <c r="B93" s="48" t="str">
        <f>IF(F93&lt;&gt;"",1+MAX($B$22:B92),"")</f>
        <v/>
      </c>
      <c r="C93" s="52"/>
      <c r="D93" s="50"/>
      <c r="E93" s="23"/>
      <c r="F93" s="39"/>
      <c r="G93" s="17"/>
      <c r="H93" s="17">
        <f t="shared" si="21"/>
        <v>0</v>
      </c>
      <c r="I93" s="17">
        <f t="shared" si="22"/>
        <v>0</v>
      </c>
      <c r="J93" s="15"/>
      <c r="K93" s="10">
        <f t="shared" si="23"/>
        <v>0</v>
      </c>
      <c r="L93" s="10"/>
      <c r="M93" s="17"/>
      <c r="N93" s="17">
        <f t="shared" si="24"/>
        <v>0</v>
      </c>
      <c r="O93" s="17">
        <f t="shared" si="25"/>
        <v>0</v>
      </c>
      <c r="P93" s="17">
        <f t="shared" si="26"/>
        <v>0</v>
      </c>
      <c r="Q93" s="17">
        <f t="shared" si="27"/>
        <v>0</v>
      </c>
      <c r="R93" s="49"/>
    </row>
    <row r="94" spans="2:18" x14ac:dyDescent="0.25">
      <c r="B94" s="63" t="str">
        <f>IF(F94&lt;&gt;"",1+MAX($B$22:B93),"")</f>
        <v/>
      </c>
      <c r="C94" s="64"/>
      <c r="D94" s="65" t="s">
        <v>163</v>
      </c>
      <c r="E94" s="23"/>
      <c r="F94" s="39"/>
      <c r="G94" s="17"/>
      <c r="H94" s="17">
        <f t="shared" si="21"/>
        <v>0</v>
      </c>
      <c r="I94" s="17">
        <f t="shared" si="22"/>
        <v>0</v>
      </c>
      <c r="J94" s="15"/>
      <c r="K94" s="10">
        <f t="shared" si="23"/>
        <v>0</v>
      </c>
      <c r="L94" s="10"/>
      <c r="M94" s="17"/>
      <c r="N94" s="17">
        <f t="shared" si="24"/>
        <v>0</v>
      </c>
      <c r="O94" s="17">
        <f t="shared" si="25"/>
        <v>0</v>
      </c>
      <c r="P94" s="17">
        <f t="shared" si="26"/>
        <v>0</v>
      </c>
      <c r="Q94" s="17">
        <f t="shared" si="27"/>
        <v>0</v>
      </c>
      <c r="R94" s="49"/>
    </row>
    <row r="95" spans="2:18" ht="96.6" x14ac:dyDescent="0.25">
      <c r="B95" s="48">
        <f>IF(F95&lt;&gt;"",1+MAX($B$22:B94),"")</f>
        <v>33</v>
      </c>
      <c r="C95" s="131" t="s">
        <v>140</v>
      </c>
      <c r="D95" s="8" t="s">
        <v>164</v>
      </c>
      <c r="E95" s="23" t="s">
        <v>49</v>
      </c>
      <c r="F95" s="71">
        <f>(228*6*0.83)/27</f>
        <v>42.053333333333335</v>
      </c>
      <c r="G95" s="17">
        <v>366</v>
      </c>
      <c r="H95" s="17">
        <f t="shared" si="11"/>
        <v>329.40000000000003</v>
      </c>
      <c r="I95" s="17">
        <f t="shared" si="12"/>
        <v>13852.368000000002</v>
      </c>
      <c r="J95" s="15">
        <v>5.0170000000000003</v>
      </c>
      <c r="K95" s="10">
        <f t="shared" si="13"/>
        <v>210.98157333333336</v>
      </c>
      <c r="L95" s="79" t="s">
        <v>225</v>
      </c>
      <c r="M95" s="80">
        <v>54.81</v>
      </c>
      <c r="N95" s="17">
        <f t="shared" si="17"/>
        <v>73.445400000000006</v>
      </c>
      <c r="O95" s="17">
        <f t="shared" si="18"/>
        <v>368.47557180000007</v>
      </c>
      <c r="P95" s="17">
        <f t="shared" si="19"/>
        <v>15495.626046096004</v>
      </c>
      <c r="Q95" s="17">
        <f t="shared" si="20"/>
        <v>29347.994046096006</v>
      </c>
      <c r="R95" s="49"/>
    </row>
    <row r="96" spans="2:18" x14ac:dyDescent="0.25">
      <c r="B96" s="48" t="str">
        <f>IF(F96&lt;&gt;"",1+MAX($B$22:B95),"")</f>
        <v/>
      </c>
      <c r="C96" s="131"/>
      <c r="D96" s="50"/>
      <c r="E96" s="23"/>
      <c r="F96" s="71"/>
      <c r="G96" s="17"/>
      <c r="H96" s="17">
        <f t="shared" si="11"/>
        <v>0</v>
      </c>
      <c r="I96" s="17">
        <f t="shared" si="12"/>
        <v>0</v>
      </c>
      <c r="J96" s="15"/>
      <c r="K96" s="10">
        <f t="shared" si="13"/>
        <v>0</v>
      </c>
      <c r="L96" s="10"/>
      <c r="M96" s="17"/>
      <c r="N96" s="17">
        <f t="shared" si="17"/>
        <v>0</v>
      </c>
      <c r="O96" s="17">
        <f t="shared" si="18"/>
        <v>0</v>
      </c>
      <c r="P96" s="17">
        <f t="shared" si="19"/>
        <v>0</v>
      </c>
      <c r="Q96" s="17">
        <f t="shared" si="20"/>
        <v>0</v>
      </c>
      <c r="R96" s="49"/>
    </row>
    <row r="97" spans="2:18" x14ac:dyDescent="0.25">
      <c r="B97" s="48" t="str">
        <f>IF(F97&lt;&gt;"",1+MAX($B$22:B96),"")</f>
        <v/>
      </c>
      <c r="C97" s="131"/>
      <c r="D97" s="50" t="s">
        <v>141</v>
      </c>
      <c r="E97" s="23"/>
      <c r="F97" s="71"/>
      <c r="G97" s="17"/>
      <c r="H97" s="17">
        <f t="shared" si="11"/>
        <v>0</v>
      </c>
      <c r="I97" s="17">
        <f t="shared" si="12"/>
        <v>0</v>
      </c>
      <c r="J97" s="15"/>
      <c r="K97" s="10">
        <f t="shared" si="13"/>
        <v>0</v>
      </c>
      <c r="L97" s="10"/>
      <c r="M97" s="17"/>
      <c r="N97" s="17">
        <f t="shared" si="17"/>
        <v>0</v>
      </c>
      <c r="O97" s="17">
        <f t="shared" si="18"/>
        <v>0</v>
      </c>
      <c r="P97" s="17">
        <f t="shared" si="19"/>
        <v>0</v>
      </c>
      <c r="Q97" s="17">
        <f t="shared" si="20"/>
        <v>0</v>
      </c>
      <c r="R97" s="49"/>
    </row>
    <row r="98" spans="2:18" ht="27.6" x14ac:dyDescent="0.25">
      <c r="B98" s="48">
        <f>IF(F98&lt;&gt;"",1+MAX($B$22:B97),"")</f>
        <v>34</v>
      </c>
      <c r="C98" s="131"/>
      <c r="D98" s="8" t="s">
        <v>165</v>
      </c>
      <c r="E98" s="23" t="s">
        <v>49</v>
      </c>
      <c r="F98" s="71">
        <f>(228*2.83*1)/27</f>
        <v>23.89777777777778</v>
      </c>
      <c r="G98" s="17">
        <v>304.22000000000003</v>
      </c>
      <c r="H98" s="17">
        <f t="shared" si="11"/>
        <v>273.79800000000006</v>
      </c>
      <c r="I98" s="17">
        <f t="shared" si="12"/>
        <v>6543.1637600000022</v>
      </c>
      <c r="J98" s="15">
        <v>6.415</v>
      </c>
      <c r="K98" s="10">
        <f t="shared" si="13"/>
        <v>153.30424444444446</v>
      </c>
      <c r="L98" s="79" t="s">
        <v>226</v>
      </c>
      <c r="M98" s="80">
        <v>52.21</v>
      </c>
      <c r="N98" s="17">
        <f t="shared" si="17"/>
        <v>69.961400000000012</v>
      </c>
      <c r="O98" s="17">
        <f t="shared" si="18"/>
        <v>448.80238100000008</v>
      </c>
      <c r="P98" s="17">
        <f t="shared" si="19"/>
        <v>10725.379567275559</v>
      </c>
      <c r="Q98" s="17">
        <f t="shared" si="20"/>
        <v>17268.543327275562</v>
      </c>
      <c r="R98" s="49"/>
    </row>
    <row r="99" spans="2:18" x14ac:dyDescent="0.25">
      <c r="B99" s="48" t="str">
        <f>IF(F99&lt;&gt;"",1+MAX($B$22:B98),"")</f>
        <v/>
      </c>
      <c r="C99" s="131"/>
      <c r="D99" s="8"/>
      <c r="E99" s="23"/>
      <c r="F99" s="71"/>
      <c r="G99" s="17"/>
      <c r="H99" s="17">
        <f t="shared" ref="H99:H138" si="37">G99*$T$2</f>
        <v>0</v>
      </c>
      <c r="I99" s="17">
        <f t="shared" ref="I99:I138" si="38">F99*H99</f>
        <v>0</v>
      </c>
      <c r="J99" s="15"/>
      <c r="K99" s="10">
        <f t="shared" ref="K99:K138" si="39">F99*J99</f>
        <v>0</v>
      </c>
      <c r="L99" s="10"/>
      <c r="M99" s="17"/>
      <c r="N99" s="17">
        <f t="shared" si="17"/>
        <v>0</v>
      </c>
      <c r="O99" s="17">
        <f t="shared" si="18"/>
        <v>0</v>
      </c>
      <c r="P99" s="17">
        <f t="shared" si="19"/>
        <v>0</v>
      </c>
      <c r="Q99" s="17">
        <f t="shared" si="20"/>
        <v>0</v>
      </c>
      <c r="R99" s="49"/>
    </row>
    <row r="100" spans="2:18" x14ac:dyDescent="0.25">
      <c r="B100" s="48" t="str">
        <f>IF(F100&lt;&gt;"",1+MAX($B$22:B99),"")</f>
        <v/>
      </c>
      <c r="C100" s="131"/>
      <c r="D100" s="50" t="s">
        <v>74</v>
      </c>
      <c r="E100" s="23"/>
      <c r="F100" s="71"/>
      <c r="G100" s="17"/>
      <c r="H100" s="17">
        <f t="shared" si="37"/>
        <v>0</v>
      </c>
      <c r="I100" s="17">
        <f t="shared" si="38"/>
        <v>0</v>
      </c>
      <c r="J100" s="15"/>
      <c r="K100" s="10">
        <f t="shared" si="39"/>
        <v>0</v>
      </c>
      <c r="L100" s="10"/>
      <c r="M100" s="17"/>
      <c r="N100" s="17">
        <f t="shared" si="17"/>
        <v>0</v>
      </c>
      <c r="O100" s="17">
        <f t="shared" si="18"/>
        <v>0</v>
      </c>
      <c r="P100" s="17">
        <f t="shared" si="19"/>
        <v>0</v>
      </c>
      <c r="Q100" s="17">
        <f t="shared" si="20"/>
        <v>0</v>
      </c>
      <c r="R100" s="49"/>
    </row>
    <row r="101" spans="2:18" x14ac:dyDescent="0.25">
      <c r="B101" s="48">
        <f>IF(F101&lt;&gt;"",1+MAX($B$22:B100),"")</f>
        <v>35</v>
      </c>
      <c r="C101" s="131"/>
      <c r="D101" s="8" t="s">
        <v>75</v>
      </c>
      <c r="E101" s="23" t="s">
        <v>48</v>
      </c>
      <c r="F101" s="39">
        <f>228*7*2</f>
        <v>3192</v>
      </c>
      <c r="G101" s="17">
        <v>2</v>
      </c>
      <c r="H101" s="17">
        <f t="shared" si="37"/>
        <v>1.8</v>
      </c>
      <c r="I101" s="17">
        <f t="shared" si="38"/>
        <v>5745.6</v>
      </c>
      <c r="J101" s="15">
        <v>3.6999999999999998E-2</v>
      </c>
      <c r="K101" s="10">
        <f t="shared" si="39"/>
        <v>118.104</v>
      </c>
      <c r="L101" s="79" t="s">
        <v>229</v>
      </c>
      <c r="M101" s="80">
        <v>53.15</v>
      </c>
      <c r="N101" s="17">
        <f t="shared" ref="N101:N137" si="40">M101*$U$2</f>
        <v>71.221000000000004</v>
      </c>
      <c r="O101" s="17">
        <f t="shared" ref="O101:O137" si="41">J101*N101</f>
        <v>2.6351770000000001</v>
      </c>
      <c r="P101" s="17">
        <f t="shared" ref="P101:P137" si="42">F101*O101</f>
        <v>8411.4849840000006</v>
      </c>
      <c r="Q101" s="17">
        <f t="shared" ref="Q101:Q137" si="43">I101+P101</f>
        <v>14157.084984000001</v>
      </c>
      <c r="R101" s="49"/>
    </row>
    <row r="102" spans="2:18" x14ac:dyDescent="0.25">
      <c r="B102" s="48" t="str">
        <f>IF(F102&lt;&gt;"",1+MAX($B$22:B101),"")</f>
        <v/>
      </c>
      <c r="C102" s="131"/>
      <c r="D102" s="8"/>
      <c r="E102" s="23"/>
      <c r="F102" s="71"/>
      <c r="G102" s="17"/>
      <c r="H102" s="17">
        <f t="shared" si="37"/>
        <v>0</v>
      </c>
      <c r="I102" s="17">
        <f t="shared" si="38"/>
        <v>0</v>
      </c>
      <c r="J102" s="15"/>
      <c r="K102" s="10">
        <f t="shared" si="39"/>
        <v>0</v>
      </c>
      <c r="L102" s="10"/>
      <c r="M102" s="17"/>
      <c r="N102" s="17">
        <f t="shared" si="40"/>
        <v>0</v>
      </c>
      <c r="O102" s="17">
        <f t="shared" si="41"/>
        <v>0</v>
      </c>
      <c r="P102" s="17">
        <f t="shared" si="42"/>
        <v>0</v>
      </c>
      <c r="Q102" s="17">
        <f t="shared" si="43"/>
        <v>0</v>
      </c>
      <c r="R102" s="49"/>
    </row>
    <row r="103" spans="2:18" x14ac:dyDescent="0.25">
      <c r="B103" s="48" t="str">
        <f>IF(F103&lt;&gt;"",1+MAX($B$22:B102),"")</f>
        <v/>
      </c>
      <c r="C103" s="131"/>
      <c r="D103" s="50" t="s">
        <v>51</v>
      </c>
      <c r="E103" s="23"/>
      <c r="F103" s="71"/>
      <c r="G103" s="17"/>
      <c r="H103" s="17">
        <f t="shared" si="37"/>
        <v>0</v>
      </c>
      <c r="I103" s="17">
        <f t="shared" si="38"/>
        <v>0</v>
      </c>
      <c r="J103" s="15"/>
      <c r="K103" s="10">
        <f t="shared" si="39"/>
        <v>0</v>
      </c>
      <c r="L103" s="10"/>
      <c r="M103" s="17"/>
      <c r="N103" s="17">
        <f t="shared" si="40"/>
        <v>0</v>
      </c>
      <c r="O103" s="17">
        <f t="shared" si="41"/>
        <v>0</v>
      </c>
      <c r="P103" s="17">
        <f t="shared" si="42"/>
        <v>0</v>
      </c>
      <c r="Q103" s="17">
        <f t="shared" si="43"/>
        <v>0</v>
      </c>
      <c r="R103" s="49"/>
    </row>
    <row r="104" spans="2:18" x14ac:dyDescent="0.25">
      <c r="B104" s="48">
        <f>IF(F104&lt;&gt;"",1+MAX($B$22:B103),"")</f>
        <v>36</v>
      </c>
      <c r="C104" s="131"/>
      <c r="D104" s="8" t="s">
        <v>62</v>
      </c>
      <c r="E104" s="23" t="s">
        <v>49</v>
      </c>
      <c r="F104" s="71">
        <f>(228*4.83*7)/27</f>
        <v>285.50666666666666</v>
      </c>
      <c r="G104" s="75"/>
      <c r="H104" s="75">
        <f t="shared" si="37"/>
        <v>0</v>
      </c>
      <c r="I104" s="75">
        <f t="shared" si="38"/>
        <v>0</v>
      </c>
      <c r="J104" s="15">
        <v>0.67900000000000005</v>
      </c>
      <c r="K104" s="10">
        <f t="shared" si="39"/>
        <v>193.85902666666667</v>
      </c>
      <c r="L104" s="79" t="s">
        <v>230</v>
      </c>
      <c r="M104" s="80">
        <v>42.1</v>
      </c>
      <c r="N104" s="17">
        <f t="shared" si="40"/>
        <v>56.414000000000009</v>
      </c>
      <c r="O104" s="17">
        <f t="shared" si="41"/>
        <v>38.305106000000009</v>
      </c>
      <c r="P104" s="17">
        <f t="shared" si="42"/>
        <v>10936.363130373336</v>
      </c>
      <c r="Q104" s="17">
        <f t="shared" si="43"/>
        <v>10936.363130373336</v>
      </c>
      <c r="R104" s="49"/>
    </row>
    <row r="105" spans="2:18" x14ac:dyDescent="0.25">
      <c r="B105" s="48">
        <f>IF(F105&lt;&gt;"",1+MAX($B$22:B104),"")</f>
        <v>37</v>
      </c>
      <c r="C105" s="131"/>
      <c r="D105" s="8" t="s">
        <v>63</v>
      </c>
      <c r="E105" s="23" t="s">
        <v>49</v>
      </c>
      <c r="F105" s="71">
        <f>286-66</f>
        <v>220</v>
      </c>
      <c r="G105" s="75"/>
      <c r="H105" s="75">
        <f t="shared" si="37"/>
        <v>0</v>
      </c>
      <c r="I105" s="75">
        <f t="shared" si="38"/>
        <v>0</v>
      </c>
      <c r="J105" s="15">
        <v>0.36099999999999999</v>
      </c>
      <c r="K105" s="10">
        <f t="shared" si="39"/>
        <v>79.42</v>
      </c>
      <c r="L105" s="79" t="s">
        <v>230</v>
      </c>
      <c r="M105" s="80">
        <v>42.1</v>
      </c>
      <c r="N105" s="17">
        <f t="shared" si="40"/>
        <v>56.414000000000009</v>
      </c>
      <c r="O105" s="17">
        <f t="shared" si="41"/>
        <v>20.365454000000003</v>
      </c>
      <c r="P105" s="17">
        <f t="shared" si="42"/>
        <v>4480.3998800000008</v>
      </c>
      <c r="Q105" s="17">
        <f t="shared" si="43"/>
        <v>4480.3998800000008</v>
      </c>
      <c r="R105" s="49"/>
    </row>
    <row r="106" spans="2:18" x14ac:dyDescent="0.25">
      <c r="B106" s="48">
        <f>IF(F106&lt;&gt;"",1+MAX($B$22:B105),"")</f>
        <v>38</v>
      </c>
      <c r="C106" s="131"/>
      <c r="D106" s="8" t="s">
        <v>54</v>
      </c>
      <c r="E106" s="23" t="s">
        <v>49</v>
      </c>
      <c r="F106" s="71">
        <f>F104-F105</f>
        <v>65.506666666666661</v>
      </c>
      <c r="G106" s="75"/>
      <c r="H106" s="75">
        <f t="shared" si="37"/>
        <v>0</v>
      </c>
      <c r="I106" s="75">
        <f t="shared" si="38"/>
        <v>0</v>
      </c>
      <c r="J106" s="15">
        <v>0.17</v>
      </c>
      <c r="K106" s="10">
        <f t="shared" si="39"/>
        <v>11.136133333333333</v>
      </c>
      <c r="L106" s="79" t="s">
        <v>230</v>
      </c>
      <c r="M106" s="80">
        <v>42.1</v>
      </c>
      <c r="N106" s="17">
        <f t="shared" si="40"/>
        <v>56.414000000000009</v>
      </c>
      <c r="O106" s="17">
        <f t="shared" si="41"/>
        <v>9.5903800000000015</v>
      </c>
      <c r="P106" s="17">
        <f t="shared" si="42"/>
        <v>628.23382586666673</v>
      </c>
      <c r="Q106" s="17">
        <f t="shared" si="43"/>
        <v>628.23382586666673</v>
      </c>
      <c r="R106" s="49"/>
    </row>
    <row r="107" spans="2:18" x14ac:dyDescent="0.25">
      <c r="B107" s="48" t="str">
        <f>IF(F107&lt;&gt;"",1+MAX($B$22:B106),"")</f>
        <v/>
      </c>
      <c r="C107" s="52"/>
      <c r="D107" s="8"/>
      <c r="E107" s="23"/>
      <c r="F107" s="39"/>
      <c r="G107" s="17"/>
      <c r="H107" s="17">
        <f t="shared" si="37"/>
        <v>0</v>
      </c>
      <c r="I107" s="17">
        <f t="shared" si="38"/>
        <v>0</v>
      </c>
      <c r="J107" s="15"/>
      <c r="K107" s="10">
        <f t="shared" si="39"/>
        <v>0</v>
      </c>
      <c r="L107" s="10"/>
      <c r="M107" s="17"/>
      <c r="N107" s="17">
        <f t="shared" si="40"/>
        <v>0</v>
      </c>
      <c r="O107" s="17">
        <f t="shared" si="41"/>
        <v>0</v>
      </c>
      <c r="P107" s="17">
        <f t="shared" si="42"/>
        <v>0</v>
      </c>
      <c r="Q107" s="17">
        <f t="shared" si="43"/>
        <v>0</v>
      </c>
      <c r="R107" s="49"/>
    </row>
    <row r="108" spans="2:18" x14ac:dyDescent="0.25">
      <c r="B108" s="63" t="str">
        <f>IF(F108&lt;&gt;"",1+MAX($B$22:B107),"")</f>
        <v/>
      </c>
      <c r="C108" s="64"/>
      <c r="D108" s="65" t="s">
        <v>170</v>
      </c>
      <c r="E108" s="23"/>
      <c r="F108" s="39"/>
      <c r="G108" s="17"/>
      <c r="H108" s="17">
        <f t="shared" si="37"/>
        <v>0</v>
      </c>
      <c r="I108" s="17">
        <f t="shared" si="38"/>
        <v>0</v>
      </c>
      <c r="J108" s="15"/>
      <c r="K108" s="10">
        <f t="shared" si="39"/>
        <v>0</v>
      </c>
      <c r="L108" s="10"/>
      <c r="M108" s="17"/>
      <c r="N108" s="17">
        <f t="shared" si="40"/>
        <v>0</v>
      </c>
      <c r="O108" s="17">
        <f t="shared" si="41"/>
        <v>0</v>
      </c>
      <c r="P108" s="17">
        <f t="shared" si="42"/>
        <v>0</v>
      </c>
      <c r="Q108" s="17">
        <f t="shared" si="43"/>
        <v>0</v>
      </c>
      <c r="R108" s="49"/>
    </row>
    <row r="109" spans="2:18" ht="165.6" x14ac:dyDescent="0.25">
      <c r="B109" s="48">
        <f>IF(F109&lt;&gt;"",1+MAX($B$22:B108),"")</f>
        <v>39</v>
      </c>
      <c r="C109" s="52" t="s">
        <v>127</v>
      </c>
      <c r="D109" s="8" t="s">
        <v>171</v>
      </c>
      <c r="E109" s="23" t="s">
        <v>48</v>
      </c>
      <c r="F109" s="39">
        <v>2826.3</v>
      </c>
      <c r="G109" s="17">
        <v>6.25</v>
      </c>
      <c r="H109" s="17">
        <f t="shared" si="37"/>
        <v>5.625</v>
      </c>
      <c r="I109" s="17">
        <f t="shared" si="38"/>
        <v>15897.937500000002</v>
      </c>
      <c r="J109" s="15">
        <v>0.1</v>
      </c>
      <c r="K109" s="10">
        <f t="shared" si="39"/>
        <v>282.63000000000005</v>
      </c>
      <c r="L109" s="79" t="s">
        <v>244</v>
      </c>
      <c r="M109" s="80">
        <v>46.9</v>
      </c>
      <c r="N109" s="17">
        <f t="shared" si="40"/>
        <v>62.846000000000004</v>
      </c>
      <c r="O109" s="17">
        <f t="shared" si="41"/>
        <v>6.2846000000000011</v>
      </c>
      <c r="P109" s="17">
        <f t="shared" si="42"/>
        <v>17762.164980000005</v>
      </c>
      <c r="Q109" s="17">
        <f t="shared" si="43"/>
        <v>33660.102480000009</v>
      </c>
      <c r="R109" s="49"/>
    </row>
    <row r="110" spans="2:18" x14ac:dyDescent="0.25">
      <c r="B110" s="48" t="str">
        <f>IF(F110&lt;&gt;"",1+MAX($B$22:B109),"")</f>
        <v/>
      </c>
      <c r="C110" s="52"/>
      <c r="D110" s="8"/>
      <c r="E110" s="23"/>
      <c r="F110" s="39"/>
      <c r="G110" s="17"/>
      <c r="H110" s="17">
        <f t="shared" si="37"/>
        <v>0</v>
      </c>
      <c r="I110" s="17">
        <f t="shared" si="38"/>
        <v>0</v>
      </c>
      <c r="J110" s="15"/>
      <c r="K110" s="10">
        <f t="shared" si="39"/>
        <v>0</v>
      </c>
      <c r="L110" s="10"/>
      <c r="M110" s="17"/>
      <c r="N110" s="17">
        <f t="shared" si="40"/>
        <v>0</v>
      </c>
      <c r="O110" s="17">
        <f t="shared" si="41"/>
        <v>0</v>
      </c>
      <c r="P110" s="17">
        <f t="shared" si="42"/>
        <v>0</v>
      </c>
      <c r="Q110" s="17">
        <f t="shared" si="43"/>
        <v>0</v>
      </c>
      <c r="R110" s="49"/>
    </row>
    <row r="111" spans="2:18" x14ac:dyDescent="0.25">
      <c r="B111" s="63" t="str">
        <f>IF(F111&lt;&gt;"",1+MAX($B$22:B110),"")</f>
        <v/>
      </c>
      <c r="C111" s="64"/>
      <c r="D111" s="65" t="s">
        <v>206</v>
      </c>
      <c r="E111" s="23"/>
      <c r="F111" s="39"/>
      <c r="G111" s="17"/>
      <c r="H111" s="17">
        <f t="shared" si="37"/>
        <v>0</v>
      </c>
      <c r="I111" s="17">
        <f t="shared" si="38"/>
        <v>0</v>
      </c>
      <c r="J111" s="15"/>
      <c r="K111" s="10">
        <f t="shared" si="39"/>
        <v>0</v>
      </c>
      <c r="L111" s="10"/>
      <c r="M111" s="17"/>
      <c r="N111" s="17">
        <f t="shared" si="40"/>
        <v>0</v>
      </c>
      <c r="O111" s="17">
        <f t="shared" si="41"/>
        <v>0</v>
      </c>
      <c r="P111" s="17">
        <f t="shared" si="42"/>
        <v>0</v>
      </c>
      <c r="Q111" s="17">
        <f t="shared" si="43"/>
        <v>0</v>
      </c>
      <c r="R111" s="49"/>
    </row>
    <row r="112" spans="2:18" ht="27.6" x14ac:dyDescent="0.25">
      <c r="B112" s="48">
        <f>IF(F112&lt;&gt;"",1+MAX($B$22:B111),"")</f>
        <v>40</v>
      </c>
      <c r="C112" s="131"/>
      <c r="D112" s="8" t="s">
        <v>207</v>
      </c>
      <c r="E112" s="23" t="s">
        <v>49</v>
      </c>
      <c r="F112" s="71">
        <f>15*((3.14*0.75*0.75/4)*3/27)</f>
        <v>0.73593750000000002</v>
      </c>
      <c r="G112" s="17">
        <v>304.22000000000003</v>
      </c>
      <c r="H112" s="17">
        <f t="shared" si="37"/>
        <v>273.79800000000006</v>
      </c>
      <c r="I112" s="17">
        <f t="shared" si="38"/>
        <v>201.49821562500006</v>
      </c>
      <c r="J112" s="15">
        <v>6.415</v>
      </c>
      <c r="K112" s="10">
        <f t="shared" si="39"/>
        <v>4.7210390625</v>
      </c>
      <c r="L112" s="79" t="s">
        <v>226</v>
      </c>
      <c r="M112" s="80">
        <v>52.21</v>
      </c>
      <c r="N112" s="17">
        <f t="shared" si="40"/>
        <v>69.961400000000012</v>
      </c>
      <c r="O112" s="17">
        <f t="shared" si="41"/>
        <v>448.80238100000008</v>
      </c>
      <c r="P112" s="17">
        <f t="shared" si="42"/>
        <v>330.29050226718755</v>
      </c>
      <c r="Q112" s="17">
        <f t="shared" si="43"/>
        <v>531.78871789218761</v>
      </c>
      <c r="R112" s="49"/>
    </row>
    <row r="113" spans="2:19" x14ac:dyDescent="0.25">
      <c r="B113" s="48" t="str">
        <f>IF(F113&lt;&gt;"",1+MAX($B$22:B112),"")</f>
        <v/>
      </c>
      <c r="C113" s="131"/>
      <c r="D113" s="8"/>
      <c r="E113" s="23"/>
      <c r="F113" s="71"/>
      <c r="G113" s="17"/>
      <c r="H113" s="17">
        <f t="shared" si="37"/>
        <v>0</v>
      </c>
      <c r="I113" s="17">
        <f t="shared" si="38"/>
        <v>0</v>
      </c>
      <c r="J113" s="15"/>
      <c r="K113" s="10">
        <f t="shared" si="39"/>
        <v>0</v>
      </c>
      <c r="L113" s="10"/>
      <c r="M113" s="17"/>
      <c r="N113" s="17">
        <f t="shared" si="40"/>
        <v>0</v>
      </c>
      <c r="O113" s="17">
        <f t="shared" si="41"/>
        <v>0</v>
      </c>
      <c r="P113" s="17">
        <f t="shared" si="42"/>
        <v>0</v>
      </c>
      <c r="Q113" s="17">
        <f t="shared" si="43"/>
        <v>0</v>
      </c>
      <c r="R113" s="49"/>
    </row>
    <row r="114" spans="2:19" x14ac:dyDescent="0.25">
      <c r="B114" s="48" t="str">
        <f>IF(F114&lt;&gt;"",1+MAX($B$22:B113),"")</f>
        <v/>
      </c>
      <c r="C114" s="131"/>
      <c r="D114" s="50" t="s">
        <v>208</v>
      </c>
      <c r="E114" s="23"/>
      <c r="F114" s="71"/>
      <c r="G114" s="17"/>
      <c r="H114" s="17">
        <f t="shared" si="37"/>
        <v>0</v>
      </c>
      <c r="I114" s="17">
        <f t="shared" si="38"/>
        <v>0</v>
      </c>
      <c r="J114" s="15"/>
      <c r="K114" s="10">
        <f t="shared" si="39"/>
        <v>0</v>
      </c>
      <c r="L114" s="10"/>
      <c r="M114" s="17"/>
      <c r="N114" s="17">
        <f t="shared" si="40"/>
        <v>0</v>
      </c>
      <c r="O114" s="17">
        <f t="shared" si="41"/>
        <v>0</v>
      </c>
      <c r="P114" s="17">
        <f t="shared" si="42"/>
        <v>0</v>
      </c>
      <c r="Q114" s="17">
        <f t="shared" si="43"/>
        <v>0</v>
      </c>
      <c r="R114" s="49"/>
    </row>
    <row r="115" spans="2:19" x14ac:dyDescent="0.25">
      <c r="B115" s="48">
        <f>IF(F115&lt;&gt;"",1+MAX($B$22:B114),"")</f>
        <v>41</v>
      </c>
      <c r="C115" s="131"/>
      <c r="D115" s="8" t="s">
        <v>51</v>
      </c>
      <c r="E115" s="23" t="s">
        <v>49</v>
      </c>
      <c r="F115" s="71">
        <f t="shared" ref="F115:F116" si="44">15*((3.14*0.75*0.75/4)*3/27)</f>
        <v>0.73593750000000002</v>
      </c>
      <c r="G115" s="75"/>
      <c r="H115" s="75">
        <f t="shared" si="37"/>
        <v>0</v>
      </c>
      <c r="I115" s="75">
        <f t="shared" ref="I115:I116" si="45">F115*H115</f>
        <v>0</v>
      </c>
      <c r="J115" s="15">
        <v>0.67900000000000005</v>
      </c>
      <c r="K115" s="10">
        <f t="shared" ref="K115:K116" si="46">F115*J115</f>
        <v>0.49970156250000003</v>
      </c>
      <c r="L115" s="79" t="s">
        <v>230</v>
      </c>
      <c r="M115" s="80">
        <v>42.1</v>
      </c>
      <c r="N115" s="17">
        <f t="shared" si="40"/>
        <v>56.414000000000009</v>
      </c>
      <c r="O115" s="17">
        <f t="shared" si="41"/>
        <v>38.305106000000009</v>
      </c>
      <c r="P115" s="17">
        <f t="shared" si="42"/>
        <v>28.190163946875007</v>
      </c>
      <c r="Q115" s="17">
        <f t="shared" si="43"/>
        <v>28.190163946875007</v>
      </c>
      <c r="R115" s="49"/>
    </row>
    <row r="116" spans="2:19" x14ac:dyDescent="0.25">
      <c r="B116" s="48">
        <f>IF(F116&lt;&gt;"",1+MAX($B$22:B115),"")</f>
        <v>42</v>
      </c>
      <c r="C116" s="131"/>
      <c r="D116" s="8" t="s">
        <v>209</v>
      </c>
      <c r="E116" s="23" t="s">
        <v>49</v>
      </c>
      <c r="F116" s="71">
        <f t="shared" si="44"/>
        <v>0.73593750000000002</v>
      </c>
      <c r="G116" s="75"/>
      <c r="H116" s="75">
        <f t="shared" si="37"/>
        <v>0</v>
      </c>
      <c r="I116" s="75">
        <f t="shared" si="45"/>
        <v>0</v>
      </c>
      <c r="J116" s="15">
        <v>0.17</v>
      </c>
      <c r="K116" s="10">
        <f t="shared" si="46"/>
        <v>0.12510937500000002</v>
      </c>
      <c r="L116" s="79" t="s">
        <v>230</v>
      </c>
      <c r="M116" s="80">
        <v>42.1</v>
      </c>
      <c r="N116" s="17">
        <f t="shared" si="40"/>
        <v>56.414000000000009</v>
      </c>
      <c r="O116" s="17">
        <f t="shared" si="41"/>
        <v>9.5903800000000015</v>
      </c>
      <c r="P116" s="17">
        <f t="shared" si="42"/>
        <v>7.0579202812500013</v>
      </c>
      <c r="Q116" s="17">
        <f t="shared" si="43"/>
        <v>7.0579202812500013</v>
      </c>
      <c r="R116" s="49"/>
    </row>
    <row r="117" spans="2:19" x14ac:dyDescent="0.25">
      <c r="B117" s="48" t="str">
        <f>IF(F117&lt;&gt;"",1+MAX($B$22:B116),"")</f>
        <v/>
      </c>
      <c r="C117" s="52"/>
      <c r="D117" s="8"/>
      <c r="E117" s="23"/>
      <c r="F117" s="39"/>
      <c r="G117" s="17"/>
      <c r="H117" s="17">
        <f t="shared" si="37"/>
        <v>0</v>
      </c>
      <c r="I117" s="17">
        <f t="shared" si="38"/>
        <v>0</v>
      </c>
      <c r="J117" s="15"/>
      <c r="K117" s="10">
        <f t="shared" si="39"/>
        <v>0</v>
      </c>
      <c r="L117" s="10"/>
      <c r="M117" s="17"/>
      <c r="N117" s="17">
        <f t="shared" si="40"/>
        <v>0</v>
      </c>
      <c r="O117" s="17">
        <f t="shared" si="41"/>
        <v>0</v>
      </c>
      <c r="P117" s="17">
        <f t="shared" si="42"/>
        <v>0</v>
      </c>
      <c r="Q117" s="17">
        <f t="shared" si="43"/>
        <v>0</v>
      </c>
      <c r="R117" s="49"/>
    </row>
    <row r="118" spans="2:19" x14ac:dyDescent="0.25">
      <c r="B118" s="63" t="str">
        <f>IF(F118&lt;&gt;"",1+MAX($B$22:B117),"")</f>
        <v/>
      </c>
      <c r="C118" s="64"/>
      <c r="D118" s="65" t="s">
        <v>210</v>
      </c>
      <c r="E118" s="23"/>
      <c r="F118" s="39"/>
      <c r="G118" s="17"/>
      <c r="H118" s="17">
        <f t="shared" si="37"/>
        <v>0</v>
      </c>
      <c r="I118" s="17">
        <f t="shared" si="38"/>
        <v>0</v>
      </c>
      <c r="J118" s="15"/>
      <c r="K118" s="10">
        <f t="shared" si="39"/>
        <v>0</v>
      </c>
      <c r="L118" s="10"/>
      <c r="M118" s="17"/>
      <c r="N118" s="17">
        <f t="shared" si="40"/>
        <v>0</v>
      </c>
      <c r="O118" s="17">
        <f t="shared" si="41"/>
        <v>0</v>
      </c>
      <c r="P118" s="17">
        <f t="shared" si="42"/>
        <v>0</v>
      </c>
      <c r="Q118" s="17">
        <f t="shared" si="43"/>
        <v>0</v>
      </c>
      <c r="R118" s="49"/>
    </row>
    <row r="119" spans="2:19" ht="41.4" x14ac:dyDescent="0.25">
      <c r="B119" s="48">
        <f>IF(F119&lt;&gt;"",1+MAX($B$22:B118),"")</f>
        <v>43</v>
      </c>
      <c r="C119" s="131"/>
      <c r="D119" s="8" t="s">
        <v>211</v>
      </c>
      <c r="E119" s="23" t="s">
        <v>49</v>
      </c>
      <c r="F119" s="71">
        <f>3*((3.14*0.83*0.83/4)*4/27)</f>
        <v>0.24034955555555554</v>
      </c>
      <c r="G119" s="17">
        <v>304.22000000000003</v>
      </c>
      <c r="H119" s="17">
        <f t="shared" si="37"/>
        <v>273.79800000000006</v>
      </c>
      <c r="I119" s="17">
        <f t="shared" si="38"/>
        <v>65.807227612000005</v>
      </c>
      <c r="J119" s="15">
        <v>6.415</v>
      </c>
      <c r="K119" s="10">
        <f t="shared" si="39"/>
        <v>1.5418423988888887</v>
      </c>
      <c r="L119" s="79" t="s">
        <v>226</v>
      </c>
      <c r="M119" s="80">
        <v>52.21</v>
      </c>
      <c r="N119" s="17">
        <f t="shared" si="40"/>
        <v>69.961400000000012</v>
      </c>
      <c r="O119" s="17">
        <f t="shared" si="41"/>
        <v>448.80238100000008</v>
      </c>
      <c r="P119" s="17">
        <f t="shared" si="42"/>
        <v>107.86945280562513</v>
      </c>
      <c r="Q119" s="17">
        <f t="shared" si="43"/>
        <v>173.67668041762514</v>
      </c>
      <c r="R119" s="49"/>
    </row>
    <row r="120" spans="2:19" x14ac:dyDescent="0.25">
      <c r="B120" s="48" t="str">
        <f>IF(F120&lt;&gt;"",1+MAX($B$22:B119),"")</f>
        <v/>
      </c>
      <c r="C120" s="131"/>
      <c r="D120" s="8"/>
      <c r="E120" s="23"/>
      <c r="F120" s="71"/>
      <c r="G120" s="17"/>
      <c r="H120" s="17">
        <f t="shared" si="37"/>
        <v>0</v>
      </c>
      <c r="I120" s="17">
        <f t="shared" si="38"/>
        <v>0</v>
      </c>
      <c r="J120" s="15"/>
      <c r="K120" s="10">
        <f t="shared" si="39"/>
        <v>0</v>
      </c>
      <c r="L120" s="10"/>
      <c r="M120" s="17"/>
      <c r="N120" s="17">
        <f t="shared" si="40"/>
        <v>0</v>
      </c>
      <c r="O120" s="17">
        <f t="shared" si="41"/>
        <v>0</v>
      </c>
      <c r="P120" s="17">
        <f t="shared" si="42"/>
        <v>0</v>
      </c>
      <c r="Q120" s="17">
        <f t="shared" si="43"/>
        <v>0</v>
      </c>
      <c r="R120" s="49"/>
    </row>
    <row r="121" spans="2:19" x14ac:dyDescent="0.25">
      <c r="B121" s="48" t="str">
        <f>IF(F121&lt;&gt;"",1+MAX($B$22:B120),"")</f>
        <v/>
      </c>
      <c r="C121" s="131"/>
      <c r="D121" s="50" t="s">
        <v>208</v>
      </c>
      <c r="E121" s="23"/>
      <c r="F121" s="71"/>
      <c r="G121" s="17"/>
      <c r="H121" s="17">
        <f t="shared" si="37"/>
        <v>0</v>
      </c>
      <c r="I121" s="17">
        <f t="shared" si="38"/>
        <v>0</v>
      </c>
      <c r="J121" s="15"/>
      <c r="K121" s="10">
        <f t="shared" si="39"/>
        <v>0</v>
      </c>
      <c r="L121" s="10"/>
      <c r="M121" s="17"/>
      <c r="N121" s="17">
        <f t="shared" si="40"/>
        <v>0</v>
      </c>
      <c r="O121" s="17">
        <f t="shared" si="41"/>
        <v>0</v>
      </c>
      <c r="P121" s="17">
        <f t="shared" si="42"/>
        <v>0</v>
      </c>
      <c r="Q121" s="17">
        <f t="shared" si="43"/>
        <v>0</v>
      </c>
      <c r="R121" s="49"/>
    </row>
    <row r="122" spans="2:19" x14ac:dyDescent="0.25">
      <c r="B122" s="48">
        <f>IF(F122&lt;&gt;"",1+MAX($B$22:B121),"")</f>
        <v>44</v>
      </c>
      <c r="C122" s="131"/>
      <c r="D122" s="8" t="s">
        <v>51</v>
      </c>
      <c r="E122" s="23" t="s">
        <v>49</v>
      </c>
      <c r="F122" s="71">
        <f t="shared" ref="F122:F123" si="47">3*((3.14*0.83*0.83/4)*4/27)</f>
        <v>0.24034955555555554</v>
      </c>
      <c r="G122" s="75"/>
      <c r="H122" s="75">
        <f t="shared" si="37"/>
        <v>0</v>
      </c>
      <c r="I122" s="75">
        <f t="shared" si="38"/>
        <v>0</v>
      </c>
      <c r="J122" s="15">
        <v>0.67900000000000005</v>
      </c>
      <c r="K122" s="10">
        <f t="shared" si="39"/>
        <v>0.16319734822222223</v>
      </c>
      <c r="L122" s="79" t="s">
        <v>230</v>
      </c>
      <c r="M122" s="80">
        <v>42.1</v>
      </c>
      <c r="N122" s="17">
        <f t="shared" si="40"/>
        <v>56.414000000000009</v>
      </c>
      <c r="O122" s="17">
        <f t="shared" si="41"/>
        <v>38.305106000000009</v>
      </c>
      <c r="P122" s="17">
        <f t="shared" si="42"/>
        <v>9.2066152026084467</v>
      </c>
      <c r="Q122" s="17">
        <f t="shared" si="43"/>
        <v>9.2066152026084467</v>
      </c>
      <c r="R122" s="49"/>
    </row>
    <row r="123" spans="2:19" x14ac:dyDescent="0.25">
      <c r="B123" s="48">
        <f>IF(F123&lt;&gt;"",1+MAX($B$22:B122),"")</f>
        <v>45</v>
      </c>
      <c r="C123" s="131"/>
      <c r="D123" s="8" t="s">
        <v>209</v>
      </c>
      <c r="E123" s="23" t="s">
        <v>49</v>
      </c>
      <c r="F123" s="71">
        <f t="shared" si="47"/>
        <v>0.24034955555555554</v>
      </c>
      <c r="G123" s="75"/>
      <c r="H123" s="75">
        <f t="shared" si="37"/>
        <v>0</v>
      </c>
      <c r="I123" s="75">
        <f t="shared" si="38"/>
        <v>0</v>
      </c>
      <c r="J123" s="15">
        <v>0.17</v>
      </c>
      <c r="K123" s="10">
        <f t="shared" si="39"/>
        <v>4.0859424444444445E-2</v>
      </c>
      <c r="L123" s="79" t="s">
        <v>230</v>
      </c>
      <c r="M123" s="80">
        <v>42.1</v>
      </c>
      <c r="N123" s="17">
        <f t="shared" si="40"/>
        <v>56.414000000000009</v>
      </c>
      <c r="O123" s="17">
        <f t="shared" si="41"/>
        <v>9.5903800000000015</v>
      </c>
      <c r="P123" s="17">
        <f t="shared" si="42"/>
        <v>2.305043570608889</v>
      </c>
      <c r="Q123" s="17">
        <f t="shared" si="43"/>
        <v>2.305043570608889</v>
      </c>
      <c r="R123" s="49"/>
    </row>
    <row r="124" spans="2:19" x14ac:dyDescent="0.25">
      <c r="B124" s="48" t="str">
        <f>IF(F124&lt;&gt;"",1+MAX($B$22:B123),"")</f>
        <v/>
      </c>
      <c r="C124" s="52"/>
      <c r="D124" s="8"/>
      <c r="E124" s="23"/>
      <c r="F124" s="39"/>
      <c r="G124" s="17"/>
      <c r="H124" s="17">
        <f t="shared" si="37"/>
        <v>0</v>
      </c>
      <c r="I124" s="17">
        <f t="shared" si="38"/>
        <v>0</v>
      </c>
      <c r="J124" s="15"/>
      <c r="K124" s="10">
        <f t="shared" si="39"/>
        <v>0</v>
      </c>
      <c r="L124" s="10"/>
      <c r="M124" s="17"/>
      <c r="N124" s="17">
        <f t="shared" si="40"/>
        <v>0</v>
      </c>
      <c r="O124" s="17">
        <f t="shared" si="41"/>
        <v>0</v>
      </c>
      <c r="P124" s="17">
        <f t="shared" si="42"/>
        <v>0</v>
      </c>
      <c r="Q124" s="17">
        <f t="shared" si="43"/>
        <v>0</v>
      </c>
      <c r="R124" s="49"/>
    </row>
    <row r="125" spans="2:19" x14ac:dyDescent="0.25">
      <c r="B125" s="63" t="str">
        <f>IF(F125&lt;&gt;"",1+MAX($B$22:B124),"")</f>
        <v/>
      </c>
      <c r="C125" s="73"/>
      <c r="D125" s="65" t="s">
        <v>76</v>
      </c>
      <c r="E125" s="23"/>
      <c r="F125" s="39"/>
      <c r="G125" s="17"/>
      <c r="H125" s="17">
        <f t="shared" si="37"/>
        <v>0</v>
      </c>
      <c r="I125" s="17">
        <f t="shared" si="38"/>
        <v>0</v>
      </c>
      <c r="J125" s="15"/>
      <c r="K125" s="10">
        <f t="shared" si="39"/>
        <v>0</v>
      </c>
      <c r="L125" s="10"/>
      <c r="M125" s="17"/>
      <c r="N125" s="17">
        <f t="shared" si="40"/>
        <v>0</v>
      </c>
      <c r="O125" s="17">
        <f t="shared" si="41"/>
        <v>0</v>
      </c>
      <c r="P125" s="17">
        <f t="shared" si="42"/>
        <v>0</v>
      </c>
      <c r="Q125" s="17">
        <f t="shared" si="43"/>
        <v>0</v>
      </c>
      <c r="R125" s="49"/>
    </row>
    <row r="126" spans="2:19" x14ac:dyDescent="0.25">
      <c r="B126" s="48" t="str">
        <f>IF(F126&lt;&gt;"",1+MAX($B$22:B125),"")</f>
        <v/>
      </c>
      <c r="C126" s="52"/>
      <c r="D126" s="8"/>
      <c r="E126" s="23"/>
      <c r="F126" s="39"/>
      <c r="G126" s="17"/>
      <c r="H126" s="17">
        <f t="shared" si="37"/>
        <v>0</v>
      </c>
      <c r="I126" s="17">
        <f t="shared" si="38"/>
        <v>0</v>
      </c>
      <c r="J126" s="15"/>
      <c r="K126" s="10">
        <f t="shared" si="39"/>
        <v>0</v>
      </c>
      <c r="L126" s="10"/>
      <c r="M126" s="17"/>
      <c r="N126" s="17">
        <f t="shared" si="40"/>
        <v>0</v>
      </c>
      <c r="O126" s="17">
        <f t="shared" si="41"/>
        <v>0</v>
      </c>
      <c r="P126" s="17">
        <f t="shared" si="42"/>
        <v>0</v>
      </c>
      <c r="Q126" s="17">
        <f t="shared" si="43"/>
        <v>0</v>
      </c>
      <c r="R126" s="49"/>
      <c r="S126" s="12"/>
    </row>
    <row r="127" spans="2:19" x14ac:dyDescent="0.25">
      <c r="B127" s="48" t="str">
        <f>IF(F127&lt;&gt;"",1+MAX($B$22:B126),"")</f>
        <v/>
      </c>
      <c r="C127" s="52"/>
      <c r="D127" s="50" t="s">
        <v>51</v>
      </c>
      <c r="E127" s="23"/>
      <c r="F127" s="39"/>
      <c r="G127" s="17"/>
      <c r="H127" s="17">
        <f t="shared" si="37"/>
        <v>0</v>
      </c>
      <c r="I127" s="17">
        <f t="shared" si="38"/>
        <v>0</v>
      </c>
      <c r="J127" s="15"/>
      <c r="K127" s="10">
        <f t="shared" si="39"/>
        <v>0</v>
      </c>
      <c r="L127" s="10"/>
      <c r="M127" s="17"/>
      <c r="N127" s="17">
        <f t="shared" si="40"/>
        <v>0</v>
      </c>
      <c r="O127" s="17">
        <f t="shared" si="41"/>
        <v>0</v>
      </c>
      <c r="P127" s="17">
        <f t="shared" si="42"/>
        <v>0</v>
      </c>
      <c r="Q127" s="17">
        <f t="shared" si="43"/>
        <v>0</v>
      </c>
      <c r="R127" s="49"/>
    </row>
    <row r="128" spans="2:19" x14ac:dyDescent="0.25">
      <c r="B128" s="48">
        <f>IF(F128&lt;&gt;"",1+MAX($B$22:B127),"")</f>
        <v>46</v>
      </c>
      <c r="C128" s="131" t="s">
        <v>117</v>
      </c>
      <c r="D128" s="8" t="s">
        <v>62</v>
      </c>
      <c r="E128" s="23" t="s">
        <v>49</v>
      </c>
      <c r="F128" s="71">
        <f>(605*2*7.33)/27</f>
        <v>328.49259259259259</v>
      </c>
      <c r="G128" s="75"/>
      <c r="H128" s="75">
        <f t="shared" si="37"/>
        <v>0</v>
      </c>
      <c r="I128" s="75">
        <f t="shared" ref="I128:I129" si="48">F128*H128</f>
        <v>0</v>
      </c>
      <c r="J128" s="15">
        <v>0.67900000000000005</v>
      </c>
      <c r="K128" s="10">
        <f t="shared" ref="K128:K129" si="49">F128*J128</f>
        <v>223.04647037037037</v>
      </c>
      <c r="L128" s="79" t="s">
        <v>230</v>
      </c>
      <c r="M128" s="80">
        <v>42.1</v>
      </c>
      <c r="N128" s="17">
        <f t="shared" si="40"/>
        <v>56.414000000000009</v>
      </c>
      <c r="O128" s="17">
        <f t="shared" si="41"/>
        <v>38.305106000000009</v>
      </c>
      <c r="P128" s="17">
        <f t="shared" si="42"/>
        <v>12582.943579474077</v>
      </c>
      <c r="Q128" s="17">
        <f t="shared" si="43"/>
        <v>12582.943579474077</v>
      </c>
      <c r="R128" s="49"/>
    </row>
    <row r="129" spans="2:36" x14ac:dyDescent="0.25">
      <c r="B129" s="48">
        <f>IF(F129&lt;&gt;"",1+MAX($B$22:B128),"")</f>
        <v>47</v>
      </c>
      <c r="C129" s="131"/>
      <c r="D129" s="8" t="s">
        <v>218</v>
      </c>
      <c r="E129" s="23" t="s">
        <v>49</v>
      </c>
      <c r="F129" s="71">
        <f>(11749*7.33)/27+(70*3.83)/27</f>
        <v>3199.5655555555554</v>
      </c>
      <c r="G129" s="75"/>
      <c r="H129" s="75">
        <f t="shared" si="37"/>
        <v>0</v>
      </c>
      <c r="I129" s="75">
        <f t="shared" si="48"/>
        <v>0</v>
      </c>
      <c r="J129" s="15">
        <v>0.67900000000000005</v>
      </c>
      <c r="K129" s="10">
        <f t="shared" si="49"/>
        <v>2172.5050122222224</v>
      </c>
      <c r="L129" s="79" t="s">
        <v>230</v>
      </c>
      <c r="M129" s="80">
        <v>42.1</v>
      </c>
      <c r="N129" s="17">
        <f t="shared" si="40"/>
        <v>56.414000000000009</v>
      </c>
      <c r="O129" s="17">
        <f t="shared" si="41"/>
        <v>38.305106000000009</v>
      </c>
      <c r="P129" s="17">
        <f t="shared" si="42"/>
        <v>122559.69775950447</v>
      </c>
      <c r="Q129" s="17">
        <f t="shared" si="43"/>
        <v>122559.69775950447</v>
      </c>
      <c r="R129" s="49"/>
    </row>
    <row r="130" spans="2:36" x14ac:dyDescent="0.25">
      <c r="B130" s="48" t="str">
        <f>IF(F130&lt;&gt;"",1+MAX($B$22:B129),"")</f>
        <v/>
      </c>
      <c r="C130" s="52"/>
      <c r="D130" s="48"/>
      <c r="E130" s="52"/>
      <c r="F130" s="72"/>
      <c r="G130" s="17"/>
      <c r="H130" s="17">
        <f t="shared" si="37"/>
        <v>0</v>
      </c>
      <c r="I130" s="17">
        <f t="shared" si="38"/>
        <v>0</v>
      </c>
      <c r="J130" s="15"/>
      <c r="K130" s="10">
        <f t="shared" si="39"/>
        <v>0</v>
      </c>
      <c r="L130" s="10"/>
      <c r="M130" s="17"/>
      <c r="N130" s="17">
        <f t="shared" si="40"/>
        <v>0</v>
      </c>
      <c r="O130" s="17">
        <f t="shared" si="41"/>
        <v>0</v>
      </c>
      <c r="P130" s="17">
        <f t="shared" si="42"/>
        <v>0</v>
      </c>
      <c r="Q130" s="17">
        <f t="shared" si="43"/>
        <v>0</v>
      </c>
      <c r="R130" s="49"/>
    </row>
    <row r="131" spans="2:36" x14ac:dyDescent="0.25">
      <c r="B131" s="48" t="str">
        <f>IF(F131&lt;&gt;"",1+MAX($B$22:B130),"")</f>
        <v/>
      </c>
      <c r="C131" s="52"/>
      <c r="D131" s="50" t="s">
        <v>52</v>
      </c>
      <c r="E131" s="23"/>
      <c r="F131" s="71"/>
      <c r="G131" s="17"/>
      <c r="H131" s="17">
        <f t="shared" si="37"/>
        <v>0</v>
      </c>
      <c r="I131" s="17">
        <f t="shared" si="38"/>
        <v>0</v>
      </c>
      <c r="J131" s="15"/>
      <c r="K131" s="10">
        <f t="shared" si="39"/>
        <v>0</v>
      </c>
      <c r="L131" s="10"/>
      <c r="M131" s="17"/>
      <c r="N131" s="17">
        <f t="shared" si="40"/>
        <v>0</v>
      </c>
      <c r="O131" s="17">
        <f t="shared" si="41"/>
        <v>0</v>
      </c>
      <c r="P131" s="17">
        <f t="shared" si="42"/>
        <v>0</v>
      </c>
      <c r="Q131" s="17">
        <f t="shared" si="43"/>
        <v>0</v>
      </c>
      <c r="R131" s="49"/>
    </row>
    <row r="132" spans="2:36" x14ac:dyDescent="0.25">
      <c r="B132" s="48">
        <f>IF(F132&lt;&gt;"",1+MAX($B$22:B131),"")</f>
        <v>48</v>
      </c>
      <c r="C132" s="52" t="s">
        <v>117</v>
      </c>
      <c r="D132" s="8" t="s">
        <v>63</v>
      </c>
      <c r="E132" s="23" t="s">
        <v>49</v>
      </c>
      <c r="F132" s="71">
        <f>(605*2*7.33)/27</f>
        <v>328.49259259259259</v>
      </c>
      <c r="G132" s="75"/>
      <c r="H132" s="75">
        <f t="shared" si="37"/>
        <v>0</v>
      </c>
      <c r="I132" s="75">
        <f t="shared" ref="I132" si="50">F132*H132</f>
        <v>0</v>
      </c>
      <c r="J132" s="15">
        <v>0.36099999999999999</v>
      </c>
      <c r="K132" s="10">
        <f t="shared" ref="K132" si="51">F132*J132</f>
        <v>118.58582592592592</v>
      </c>
      <c r="L132" s="79" t="s">
        <v>230</v>
      </c>
      <c r="M132" s="80">
        <v>42.1</v>
      </c>
      <c r="N132" s="17">
        <f t="shared" si="40"/>
        <v>56.414000000000009</v>
      </c>
      <c r="O132" s="17">
        <f t="shared" si="41"/>
        <v>20.365454000000003</v>
      </c>
      <c r="P132" s="17">
        <f t="shared" si="42"/>
        <v>6689.9007837851859</v>
      </c>
      <c r="Q132" s="17">
        <f t="shared" si="43"/>
        <v>6689.9007837851859</v>
      </c>
      <c r="R132" s="49"/>
    </row>
    <row r="133" spans="2:36" x14ac:dyDescent="0.25">
      <c r="B133" s="48" t="str">
        <f>IF(F133&lt;&gt;"",1+MAX($B$22:B132),"")</f>
        <v/>
      </c>
      <c r="C133" s="52"/>
      <c r="D133" s="8"/>
      <c r="E133" s="23"/>
      <c r="F133" s="39"/>
      <c r="G133" s="17"/>
      <c r="H133" s="17">
        <f t="shared" si="37"/>
        <v>0</v>
      </c>
      <c r="I133" s="17">
        <f t="shared" si="38"/>
        <v>0</v>
      </c>
      <c r="J133" s="15"/>
      <c r="K133" s="10">
        <f t="shared" si="39"/>
        <v>0</v>
      </c>
      <c r="L133" s="10"/>
      <c r="M133" s="17"/>
      <c r="N133" s="17">
        <f t="shared" si="40"/>
        <v>0</v>
      </c>
      <c r="O133" s="17">
        <f t="shared" si="41"/>
        <v>0</v>
      </c>
      <c r="P133" s="17">
        <f t="shared" si="42"/>
        <v>0</v>
      </c>
      <c r="Q133" s="17">
        <f t="shared" si="43"/>
        <v>0</v>
      </c>
      <c r="R133" s="49"/>
    </row>
    <row r="134" spans="2:36" x14ac:dyDescent="0.25">
      <c r="B134" s="48" t="str">
        <f>IF(F134&lt;&gt;"",1+MAX($B$22:B133),"")</f>
        <v/>
      </c>
      <c r="C134" s="52"/>
      <c r="D134" s="50" t="s">
        <v>53</v>
      </c>
      <c r="E134" s="23"/>
      <c r="F134" s="39"/>
      <c r="G134" s="17"/>
      <c r="H134" s="17">
        <f t="shared" si="37"/>
        <v>0</v>
      </c>
      <c r="I134" s="17">
        <f t="shared" si="38"/>
        <v>0</v>
      </c>
      <c r="J134" s="15"/>
      <c r="K134" s="10">
        <f t="shared" si="39"/>
        <v>0</v>
      </c>
      <c r="L134" s="10"/>
      <c r="M134" s="17"/>
      <c r="N134" s="17">
        <f t="shared" si="40"/>
        <v>0</v>
      </c>
      <c r="O134" s="17">
        <f t="shared" si="41"/>
        <v>0</v>
      </c>
      <c r="P134" s="17">
        <f t="shared" si="42"/>
        <v>0</v>
      </c>
      <c r="Q134" s="17">
        <f t="shared" si="43"/>
        <v>0</v>
      </c>
      <c r="R134" s="49"/>
    </row>
    <row r="135" spans="2:36" x14ac:dyDescent="0.25">
      <c r="B135" s="48">
        <f>IF(F135&lt;&gt;"",1+MAX($B$22:B134),"")</f>
        <v>49</v>
      </c>
      <c r="C135" s="52" t="s">
        <v>117</v>
      </c>
      <c r="D135" s="8" t="s">
        <v>54</v>
      </c>
      <c r="E135" s="23" t="s">
        <v>49</v>
      </c>
      <c r="F135" s="71">
        <f>(11749*7.33)/27+(70*3.83)/27</f>
        <v>3199.5655555555554</v>
      </c>
      <c r="G135" s="75"/>
      <c r="H135" s="75">
        <f t="shared" si="37"/>
        <v>0</v>
      </c>
      <c r="I135" s="75">
        <f t="shared" ref="I135" si="52">F135*H135</f>
        <v>0</v>
      </c>
      <c r="J135" s="15">
        <v>0.17</v>
      </c>
      <c r="K135" s="10">
        <f t="shared" ref="K135" si="53">F135*J135</f>
        <v>543.9261444444445</v>
      </c>
      <c r="L135" s="79" t="s">
        <v>230</v>
      </c>
      <c r="M135" s="80">
        <v>42.1</v>
      </c>
      <c r="N135" s="17">
        <f t="shared" si="40"/>
        <v>56.414000000000009</v>
      </c>
      <c r="O135" s="17">
        <f t="shared" si="41"/>
        <v>9.5903800000000015</v>
      </c>
      <c r="P135" s="17">
        <f t="shared" si="42"/>
        <v>30685.049512688893</v>
      </c>
      <c r="Q135" s="17">
        <f t="shared" si="43"/>
        <v>30685.049512688893</v>
      </c>
      <c r="R135" s="49"/>
    </row>
    <row r="136" spans="2:36" x14ac:dyDescent="0.25">
      <c r="B136" s="48" t="str">
        <f>IF(F136&lt;&gt;"",1+MAX($B$22:B135),"")</f>
        <v/>
      </c>
      <c r="C136" s="52"/>
      <c r="D136" s="8"/>
      <c r="E136" s="23"/>
      <c r="F136" s="71"/>
      <c r="G136" s="17"/>
      <c r="H136" s="17">
        <f t="shared" si="37"/>
        <v>0</v>
      </c>
      <c r="I136" s="17">
        <f t="shared" si="38"/>
        <v>0</v>
      </c>
      <c r="J136" s="15"/>
      <c r="K136" s="10">
        <f t="shared" si="39"/>
        <v>0</v>
      </c>
      <c r="L136" s="10"/>
      <c r="M136" s="17"/>
      <c r="N136" s="17">
        <f t="shared" si="40"/>
        <v>0</v>
      </c>
      <c r="O136" s="17">
        <f t="shared" si="41"/>
        <v>0</v>
      </c>
      <c r="P136" s="17">
        <f t="shared" si="42"/>
        <v>0</v>
      </c>
      <c r="Q136" s="17">
        <f t="shared" si="43"/>
        <v>0</v>
      </c>
      <c r="R136" s="49"/>
    </row>
    <row r="137" spans="2:36" ht="138" x14ac:dyDescent="0.25">
      <c r="B137" s="48" t="str">
        <f>IF(F137&lt;&gt;"",1+MAX($B$22:B136),"")</f>
        <v/>
      </c>
      <c r="C137" s="52"/>
      <c r="D137" s="50" t="s">
        <v>212</v>
      </c>
      <c r="E137" s="23"/>
      <c r="F137" s="71"/>
      <c r="G137" s="17"/>
      <c r="H137" s="17">
        <f t="shared" si="37"/>
        <v>0</v>
      </c>
      <c r="I137" s="17">
        <f t="shared" si="38"/>
        <v>0</v>
      </c>
      <c r="J137" s="15"/>
      <c r="K137" s="10">
        <f t="shared" si="39"/>
        <v>0</v>
      </c>
      <c r="L137" s="10"/>
      <c r="M137" s="17"/>
      <c r="N137" s="17">
        <f t="shared" si="40"/>
        <v>0</v>
      </c>
      <c r="O137" s="17">
        <f t="shared" si="41"/>
        <v>0</v>
      </c>
      <c r="P137" s="17">
        <f t="shared" si="42"/>
        <v>0</v>
      </c>
      <c r="Q137" s="17">
        <f t="shared" si="43"/>
        <v>0</v>
      </c>
      <c r="R137" s="49"/>
    </row>
    <row r="138" spans="2:36" s="12" customFormat="1" x14ac:dyDescent="0.25">
      <c r="B138" s="48" t="str">
        <f>IF(F138&lt;&gt;"",1+MAX($B$22:B137),"")</f>
        <v/>
      </c>
      <c r="C138" s="52"/>
      <c r="D138" s="8"/>
      <c r="E138" s="23"/>
      <c r="F138" s="39"/>
      <c r="G138" s="17"/>
      <c r="H138" s="17">
        <f t="shared" si="37"/>
        <v>0</v>
      </c>
      <c r="I138" s="17">
        <f t="shared" si="38"/>
        <v>0</v>
      </c>
      <c r="J138" s="15"/>
      <c r="K138" s="10">
        <f t="shared" si="39"/>
        <v>0</v>
      </c>
      <c r="L138" s="10"/>
      <c r="M138" s="17"/>
      <c r="N138" s="17">
        <f t="shared" ref="N138" si="54">M138*$U$2</f>
        <v>0</v>
      </c>
      <c r="O138" s="17">
        <f t="shared" ref="O138" si="55">J138*N138</f>
        <v>0</v>
      </c>
      <c r="P138" s="17">
        <f t="shared" ref="P138" si="56">F138*O138</f>
        <v>0</v>
      </c>
      <c r="Q138" s="17">
        <f t="shared" ref="Q138" si="57">I138+P138</f>
        <v>0</v>
      </c>
      <c r="R138" s="49"/>
    </row>
    <row r="139" spans="2:36" s="12" customFormat="1" ht="12.75" customHeight="1" x14ac:dyDescent="0.25">
      <c r="B139" s="13" t="str">
        <f>IF(F139&lt;&gt;"",1+MAX($B$22:B138),"")</f>
        <v/>
      </c>
      <c r="C139" s="13" t="s">
        <v>172</v>
      </c>
      <c r="D139" s="6" t="s">
        <v>173</v>
      </c>
      <c r="E139" s="128" t="s">
        <v>37</v>
      </c>
      <c r="F139" s="128"/>
      <c r="G139" s="128"/>
      <c r="H139" s="51">
        <f>SUM(I140:I181)</f>
        <v>22361.0805</v>
      </c>
      <c r="I139" s="7">
        <f t="shared" ref="I139:I192" si="58">F139*H139</f>
        <v>0</v>
      </c>
      <c r="J139" s="7"/>
      <c r="K139" s="129" t="s">
        <v>38</v>
      </c>
      <c r="L139" s="129"/>
      <c r="M139" s="129"/>
      <c r="N139" s="129"/>
      <c r="O139" s="51">
        <f>SUM(P140:P181)</f>
        <v>23063.772953740005</v>
      </c>
      <c r="P139" s="7">
        <f t="shared" ref="P139:P192" si="59">F139*O139</f>
        <v>0</v>
      </c>
      <c r="Q139" s="47">
        <f>SUM(Q140:Q181)</f>
        <v>45424.853453739997</v>
      </c>
      <c r="R139" s="47">
        <f>(Q139)+(H139*$Q$8)+(O139*$Q$9)+(Q139*$Q$10)+($Q$11*((Q139)+(H139*$Q$8)+(O139*$Q$9)+(Q139*$Q$10)))+(Q139*$Q$12)</f>
        <v>63965.954549361966</v>
      </c>
      <c r="T139" s="11"/>
      <c r="U139" s="11"/>
      <c r="V139" s="11"/>
      <c r="W139" s="11"/>
      <c r="X139" s="11"/>
      <c r="Y139" s="11"/>
      <c r="Z139" s="11"/>
      <c r="AA139" s="11"/>
      <c r="AB139" s="11"/>
      <c r="AC139" s="11"/>
      <c r="AD139" s="11"/>
      <c r="AE139" s="11"/>
      <c r="AF139" s="11"/>
      <c r="AG139" s="11"/>
      <c r="AH139" s="11"/>
      <c r="AI139" s="11"/>
      <c r="AJ139" s="11"/>
    </row>
    <row r="140" spans="2:36" x14ac:dyDescent="0.25">
      <c r="B140" s="48" t="str">
        <f>IF(F140&lt;&gt;"",1+MAX($B$22:B139),"")</f>
        <v/>
      </c>
      <c r="C140" s="52"/>
      <c r="D140" s="8"/>
      <c r="E140" s="23"/>
      <c r="F140" s="39"/>
      <c r="G140" s="17"/>
      <c r="H140" s="17">
        <f t="shared" ref="H140:H180" si="60">G140*$T$2</f>
        <v>0</v>
      </c>
      <c r="I140" s="17">
        <f t="shared" si="58"/>
        <v>0</v>
      </c>
      <c r="J140" s="15"/>
      <c r="K140" s="10">
        <f t="shared" ref="K140:K180" si="61">F140*J140</f>
        <v>0</v>
      </c>
      <c r="L140" s="10"/>
      <c r="M140" s="17"/>
      <c r="N140" s="17">
        <f t="shared" ref="N140:N180" si="62">M140*$U$2</f>
        <v>0</v>
      </c>
      <c r="O140" s="17">
        <f t="shared" ref="O140:O180" si="63">J140*N140</f>
        <v>0</v>
      </c>
      <c r="P140" s="17">
        <f t="shared" si="59"/>
        <v>0</v>
      </c>
      <c r="Q140" s="17">
        <f t="shared" ref="Q140:Q180" si="64">I140+P140</f>
        <v>0</v>
      </c>
      <c r="R140" s="49"/>
      <c r="S140" s="12"/>
    </row>
    <row r="141" spans="2:36" x14ac:dyDescent="0.25">
      <c r="B141" s="63" t="str">
        <f>IF(F141&lt;&gt;"",1+MAX($B$22:B140),"")</f>
        <v/>
      </c>
      <c r="C141" s="64"/>
      <c r="D141" s="65" t="s">
        <v>174</v>
      </c>
      <c r="E141" s="23"/>
      <c r="F141" s="39"/>
      <c r="G141" s="17"/>
      <c r="H141" s="17">
        <f t="shared" si="60"/>
        <v>0</v>
      </c>
      <c r="I141" s="17">
        <f t="shared" si="58"/>
        <v>0</v>
      </c>
      <c r="J141" s="15"/>
      <c r="K141" s="10">
        <f t="shared" si="61"/>
        <v>0</v>
      </c>
      <c r="L141" s="10"/>
      <c r="M141" s="17"/>
      <c r="N141" s="17">
        <f t="shared" si="62"/>
        <v>0</v>
      </c>
      <c r="O141" s="17">
        <f t="shared" si="63"/>
        <v>0</v>
      </c>
      <c r="P141" s="17">
        <f t="shared" si="59"/>
        <v>0</v>
      </c>
      <c r="Q141" s="17">
        <f t="shared" si="64"/>
        <v>0</v>
      </c>
      <c r="R141" s="49"/>
    </row>
    <row r="142" spans="2:36" ht="27.6" x14ac:dyDescent="0.25">
      <c r="B142" s="48">
        <f>IF(F142&lt;&gt;"",1+MAX($B$22:B141),"")</f>
        <v>50</v>
      </c>
      <c r="C142" s="131" t="s">
        <v>153</v>
      </c>
      <c r="D142" s="8" t="s">
        <v>175</v>
      </c>
      <c r="E142" s="23" t="s">
        <v>50</v>
      </c>
      <c r="F142" s="39">
        <v>8</v>
      </c>
      <c r="G142" s="17">
        <v>2.08</v>
      </c>
      <c r="H142" s="17">
        <f t="shared" si="60"/>
        <v>1.8720000000000001</v>
      </c>
      <c r="I142" s="17">
        <f t="shared" si="58"/>
        <v>14.976000000000001</v>
      </c>
      <c r="J142" s="15">
        <v>2.2499999999999999E-2</v>
      </c>
      <c r="K142" s="10">
        <f t="shared" si="61"/>
        <v>0.18</v>
      </c>
      <c r="L142" s="79" t="s">
        <v>241</v>
      </c>
      <c r="M142" s="80">
        <v>47.02</v>
      </c>
      <c r="N142" s="17">
        <f t="shared" si="62"/>
        <v>63.006800000000005</v>
      </c>
      <c r="O142" s="17">
        <f t="shared" si="63"/>
        <v>1.4176530000000001</v>
      </c>
      <c r="P142" s="17">
        <f t="shared" si="59"/>
        <v>11.341224</v>
      </c>
      <c r="Q142" s="17">
        <f t="shared" si="64"/>
        <v>26.317224000000003</v>
      </c>
      <c r="R142" s="49"/>
      <c r="S142" s="2"/>
    </row>
    <row r="143" spans="2:36" ht="27.6" x14ac:dyDescent="0.25">
      <c r="B143" s="48">
        <f>IF(F143&lt;&gt;"",1+MAX($B$22:B142),"")</f>
        <v>51</v>
      </c>
      <c r="C143" s="131"/>
      <c r="D143" s="8" t="s">
        <v>176</v>
      </c>
      <c r="E143" s="23" t="s">
        <v>50</v>
      </c>
      <c r="F143" s="39">
        <v>17.399999999999999</v>
      </c>
      <c r="G143" s="17">
        <v>4.25</v>
      </c>
      <c r="H143" s="17">
        <f t="shared" si="60"/>
        <v>3.8250000000000002</v>
      </c>
      <c r="I143" s="17">
        <f t="shared" ref="I143:I149" si="65">F143*H143</f>
        <v>66.554999999999993</v>
      </c>
      <c r="J143" s="15">
        <v>2.6999999999999996E-2</v>
      </c>
      <c r="K143" s="10">
        <f t="shared" ref="K143:K149" si="66">F143*J143</f>
        <v>0.46979999999999988</v>
      </c>
      <c r="L143" s="79" t="s">
        <v>241</v>
      </c>
      <c r="M143" s="80">
        <v>47.02</v>
      </c>
      <c r="N143" s="17">
        <f t="shared" si="62"/>
        <v>63.006800000000005</v>
      </c>
      <c r="O143" s="17">
        <f t="shared" si="63"/>
        <v>1.7011836</v>
      </c>
      <c r="P143" s="17">
        <f t="shared" si="59"/>
        <v>29.600594639999997</v>
      </c>
      <c r="Q143" s="17">
        <f t="shared" si="64"/>
        <v>96.15559463999999</v>
      </c>
      <c r="R143" s="49"/>
      <c r="S143" s="2"/>
    </row>
    <row r="144" spans="2:36" ht="27.6" x14ac:dyDescent="0.25">
      <c r="B144" s="48">
        <f>IF(F144&lt;&gt;"",1+MAX($B$22:B143),"")</f>
        <v>52</v>
      </c>
      <c r="C144" s="131"/>
      <c r="D144" s="8" t="s">
        <v>177</v>
      </c>
      <c r="E144" s="23" t="s">
        <v>50</v>
      </c>
      <c r="F144" s="39">
        <v>25</v>
      </c>
      <c r="G144" s="17">
        <v>6.65</v>
      </c>
      <c r="H144" s="17">
        <f t="shared" si="60"/>
        <v>5.9850000000000003</v>
      </c>
      <c r="I144" s="17">
        <f t="shared" si="65"/>
        <v>149.625</v>
      </c>
      <c r="J144" s="15">
        <v>3.6000000000000004E-2</v>
      </c>
      <c r="K144" s="10">
        <f t="shared" si="66"/>
        <v>0.90000000000000013</v>
      </c>
      <c r="L144" s="79" t="s">
        <v>241</v>
      </c>
      <c r="M144" s="80">
        <v>47.02</v>
      </c>
      <c r="N144" s="17">
        <f t="shared" si="62"/>
        <v>63.006800000000005</v>
      </c>
      <c r="O144" s="17">
        <f t="shared" si="63"/>
        <v>2.2682448000000006</v>
      </c>
      <c r="P144" s="17">
        <f t="shared" si="59"/>
        <v>56.706120000000013</v>
      </c>
      <c r="Q144" s="17">
        <f t="shared" si="64"/>
        <v>206.33112</v>
      </c>
      <c r="R144" s="49"/>
      <c r="S144" s="2"/>
    </row>
    <row r="145" spans="2:19" ht="27.6" x14ac:dyDescent="0.25">
      <c r="B145" s="48">
        <f>IF(F145&lt;&gt;"",1+MAX($B$22:B144),"")</f>
        <v>53</v>
      </c>
      <c r="C145" s="131"/>
      <c r="D145" s="8" t="s">
        <v>178</v>
      </c>
      <c r="E145" s="23" t="s">
        <v>50</v>
      </c>
      <c r="F145" s="39">
        <v>8</v>
      </c>
      <c r="G145" s="17">
        <v>8.25</v>
      </c>
      <c r="H145" s="17">
        <f t="shared" si="60"/>
        <v>7.4249999999999998</v>
      </c>
      <c r="I145" s="17">
        <f t="shared" si="65"/>
        <v>59.4</v>
      </c>
      <c r="J145" s="15">
        <v>4.65E-2</v>
      </c>
      <c r="K145" s="10">
        <f t="shared" si="66"/>
        <v>0.372</v>
      </c>
      <c r="L145" s="79" t="s">
        <v>241</v>
      </c>
      <c r="M145" s="80">
        <v>47.02</v>
      </c>
      <c r="N145" s="17">
        <f t="shared" si="62"/>
        <v>63.006800000000005</v>
      </c>
      <c r="O145" s="17">
        <f t="shared" si="63"/>
        <v>2.9298162000000003</v>
      </c>
      <c r="P145" s="17">
        <f t="shared" si="59"/>
        <v>23.438529600000003</v>
      </c>
      <c r="Q145" s="17">
        <f t="shared" si="64"/>
        <v>82.838529600000001</v>
      </c>
      <c r="R145" s="49"/>
      <c r="S145" s="2"/>
    </row>
    <row r="146" spans="2:19" ht="27.6" x14ac:dyDescent="0.25">
      <c r="B146" s="48">
        <f>IF(F146&lt;&gt;"",1+MAX($B$22:B145),"")</f>
        <v>54</v>
      </c>
      <c r="C146" s="131"/>
      <c r="D146" s="8" t="s">
        <v>179</v>
      </c>
      <c r="E146" s="23" t="s">
        <v>50</v>
      </c>
      <c r="F146" s="39">
        <f>56+60</f>
        <v>116</v>
      </c>
      <c r="G146" s="17">
        <v>12.25</v>
      </c>
      <c r="H146" s="17">
        <f t="shared" si="60"/>
        <v>11.025</v>
      </c>
      <c r="I146" s="17">
        <f t="shared" si="65"/>
        <v>1278.9000000000001</v>
      </c>
      <c r="J146" s="15">
        <v>0.10350000000000001</v>
      </c>
      <c r="K146" s="10">
        <f t="shared" si="66"/>
        <v>12.006</v>
      </c>
      <c r="L146" s="79" t="s">
        <v>241</v>
      </c>
      <c r="M146" s="80">
        <v>47.02</v>
      </c>
      <c r="N146" s="17">
        <f t="shared" si="62"/>
        <v>63.006800000000005</v>
      </c>
      <c r="O146" s="17">
        <f t="shared" si="63"/>
        <v>6.5212038000000012</v>
      </c>
      <c r="P146" s="17">
        <f t="shared" si="59"/>
        <v>756.4596408000001</v>
      </c>
      <c r="Q146" s="17">
        <f t="shared" si="64"/>
        <v>2035.3596408000003</v>
      </c>
      <c r="R146" s="49"/>
      <c r="S146" s="2"/>
    </row>
    <row r="147" spans="2:19" ht="27.6" x14ac:dyDescent="0.25">
      <c r="B147" s="48">
        <f>IF(F147&lt;&gt;"",1+MAX($B$22:B146),"")</f>
        <v>55</v>
      </c>
      <c r="C147" s="131"/>
      <c r="D147" s="8" t="s">
        <v>180</v>
      </c>
      <c r="E147" s="23" t="s">
        <v>50</v>
      </c>
      <c r="F147" s="39">
        <v>20.7</v>
      </c>
      <c r="G147" s="17">
        <v>37.25</v>
      </c>
      <c r="H147" s="17">
        <f t="shared" si="60"/>
        <v>33.524999999999999</v>
      </c>
      <c r="I147" s="17">
        <f t="shared" si="65"/>
        <v>693.96749999999997</v>
      </c>
      <c r="J147" s="15">
        <v>0.185</v>
      </c>
      <c r="K147" s="10">
        <f t="shared" si="66"/>
        <v>3.8294999999999999</v>
      </c>
      <c r="L147" s="79" t="s">
        <v>242</v>
      </c>
      <c r="M147" s="17">
        <v>62.99</v>
      </c>
      <c r="N147" s="17">
        <f t="shared" si="62"/>
        <v>84.406600000000012</v>
      </c>
      <c r="O147" s="17">
        <f t="shared" si="63"/>
        <v>15.615221000000002</v>
      </c>
      <c r="P147" s="17">
        <f t="shared" si="59"/>
        <v>323.23507470000004</v>
      </c>
      <c r="Q147" s="17">
        <f t="shared" si="64"/>
        <v>1017.2025747</v>
      </c>
      <c r="R147" s="49"/>
      <c r="S147" s="12"/>
    </row>
    <row r="148" spans="2:19" ht="27.6" x14ac:dyDescent="0.25">
      <c r="B148" s="48">
        <f>IF(F148&lt;&gt;"",1+MAX($B$22:B147),"")</f>
        <v>56</v>
      </c>
      <c r="C148" s="131"/>
      <c r="D148" s="8" t="s">
        <v>181</v>
      </c>
      <c r="E148" s="23" t="s">
        <v>50</v>
      </c>
      <c r="F148" s="39">
        <v>21</v>
      </c>
      <c r="G148" s="17">
        <v>42.5</v>
      </c>
      <c r="H148" s="17">
        <f t="shared" si="60"/>
        <v>38.25</v>
      </c>
      <c r="I148" s="17">
        <f t="shared" si="65"/>
        <v>803.25</v>
      </c>
      <c r="J148" s="15">
        <v>0.2</v>
      </c>
      <c r="K148" s="10">
        <f t="shared" si="66"/>
        <v>4.2</v>
      </c>
      <c r="L148" s="79" t="s">
        <v>242</v>
      </c>
      <c r="M148" s="17">
        <v>62.99</v>
      </c>
      <c r="N148" s="17">
        <f t="shared" si="62"/>
        <v>84.406600000000012</v>
      </c>
      <c r="O148" s="17">
        <f t="shared" si="63"/>
        <v>16.881320000000002</v>
      </c>
      <c r="P148" s="17">
        <f t="shared" si="59"/>
        <v>354.50772000000006</v>
      </c>
      <c r="Q148" s="17">
        <f t="shared" si="64"/>
        <v>1157.7577200000001</v>
      </c>
      <c r="R148" s="49"/>
      <c r="S148" s="12"/>
    </row>
    <row r="149" spans="2:19" ht="27.6" x14ac:dyDescent="0.25">
      <c r="B149" s="48">
        <f>IF(F149&lt;&gt;"",1+MAX($B$22:B148),"")</f>
        <v>57</v>
      </c>
      <c r="C149" s="131"/>
      <c r="D149" s="8" t="s">
        <v>182</v>
      </c>
      <c r="E149" s="23" t="s">
        <v>50</v>
      </c>
      <c r="F149" s="39">
        <v>23.8</v>
      </c>
      <c r="G149" s="17">
        <v>21</v>
      </c>
      <c r="H149" s="17">
        <f t="shared" si="60"/>
        <v>18.900000000000002</v>
      </c>
      <c r="I149" s="17">
        <f t="shared" si="65"/>
        <v>449.82000000000005</v>
      </c>
      <c r="J149" s="15">
        <v>0.5</v>
      </c>
      <c r="K149" s="10">
        <f t="shared" si="66"/>
        <v>11.9</v>
      </c>
      <c r="L149" s="79" t="s">
        <v>240</v>
      </c>
      <c r="M149" s="80">
        <v>58</v>
      </c>
      <c r="N149" s="17">
        <f t="shared" si="62"/>
        <v>77.72</v>
      </c>
      <c r="O149" s="17">
        <f t="shared" si="63"/>
        <v>38.86</v>
      </c>
      <c r="P149" s="17">
        <f t="shared" si="59"/>
        <v>924.86800000000005</v>
      </c>
      <c r="Q149" s="17">
        <f t="shared" si="64"/>
        <v>1374.6880000000001</v>
      </c>
      <c r="R149" s="49"/>
      <c r="S149" s="12"/>
    </row>
    <row r="150" spans="2:19" x14ac:dyDescent="0.25">
      <c r="B150" s="48" t="str">
        <f>IF(F150&lt;&gt;"",1+MAX($B$22:B149),"")</f>
        <v/>
      </c>
      <c r="C150" s="52"/>
      <c r="D150" s="50"/>
      <c r="E150" s="23"/>
      <c r="F150" s="39"/>
      <c r="G150" s="17"/>
      <c r="H150" s="17">
        <f t="shared" si="60"/>
        <v>0</v>
      </c>
      <c r="I150" s="17">
        <f t="shared" si="58"/>
        <v>0</v>
      </c>
      <c r="J150" s="15"/>
      <c r="K150" s="10">
        <f t="shared" si="61"/>
        <v>0</v>
      </c>
      <c r="L150" s="10"/>
      <c r="M150" s="17"/>
      <c r="N150" s="17">
        <f t="shared" si="62"/>
        <v>0</v>
      </c>
      <c r="O150" s="17">
        <f t="shared" si="63"/>
        <v>0</v>
      </c>
      <c r="P150" s="17">
        <f t="shared" si="59"/>
        <v>0</v>
      </c>
      <c r="Q150" s="17">
        <f t="shared" si="64"/>
        <v>0</v>
      </c>
      <c r="R150" s="49"/>
    </row>
    <row r="151" spans="2:19" x14ac:dyDescent="0.25">
      <c r="B151" s="63" t="str">
        <f>IF(F151&lt;&gt;"",1+MAX($B$22:B150),"")</f>
        <v/>
      </c>
      <c r="C151" s="64"/>
      <c r="D151" s="65" t="s">
        <v>147</v>
      </c>
      <c r="E151" s="23"/>
      <c r="F151" s="39"/>
      <c r="G151" s="17"/>
      <c r="H151" s="17">
        <f t="shared" si="60"/>
        <v>0</v>
      </c>
      <c r="I151" s="17">
        <f t="shared" si="58"/>
        <v>0</v>
      </c>
      <c r="J151" s="15"/>
      <c r="K151" s="10">
        <f t="shared" si="61"/>
        <v>0</v>
      </c>
      <c r="L151" s="10"/>
      <c r="M151" s="17"/>
      <c r="N151" s="17">
        <f t="shared" si="62"/>
        <v>0</v>
      </c>
      <c r="O151" s="17">
        <f t="shared" si="63"/>
        <v>0</v>
      </c>
      <c r="P151" s="17">
        <f t="shared" si="59"/>
        <v>0</v>
      </c>
      <c r="Q151" s="17">
        <f t="shared" si="64"/>
        <v>0</v>
      </c>
      <c r="R151" s="49"/>
    </row>
    <row r="152" spans="2:19" ht="55.2" x14ac:dyDescent="0.25">
      <c r="B152" s="48">
        <f>IF(F152&lt;&gt;"",1+MAX($B$22:B151),"")</f>
        <v>58</v>
      </c>
      <c r="C152" s="52" t="s">
        <v>148</v>
      </c>
      <c r="D152" s="8" t="s">
        <v>149</v>
      </c>
      <c r="E152" s="23" t="s">
        <v>121</v>
      </c>
      <c r="F152" s="39">
        <v>9</v>
      </c>
      <c r="G152" s="17">
        <v>984.27</v>
      </c>
      <c r="H152" s="17">
        <f t="shared" si="60"/>
        <v>885.84299999999996</v>
      </c>
      <c r="I152" s="17">
        <f t="shared" si="58"/>
        <v>7972.5869999999995</v>
      </c>
      <c r="J152" s="15">
        <v>4.7850000000000001</v>
      </c>
      <c r="K152" s="10">
        <f t="shared" si="61"/>
        <v>43.064999999999998</v>
      </c>
      <c r="L152" s="79" t="s">
        <v>240</v>
      </c>
      <c r="M152" s="80">
        <v>58</v>
      </c>
      <c r="N152" s="17">
        <f t="shared" si="62"/>
        <v>77.72</v>
      </c>
      <c r="O152" s="17">
        <f t="shared" si="63"/>
        <v>371.89019999999999</v>
      </c>
      <c r="P152" s="17">
        <f t="shared" si="59"/>
        <v>3347.0117999999998</v>
      </c>
      <c r="Q152" s="17">
        <f t="shared" si="64"/>
        <v>11319.5988</v>
      </c>
      <c r="R152" s="49"/>
    </row>
    <row r="153" spans="2:19" x14ac:dyDescent="0.25">
      <c r="B153" s="48" t="str">
        <f>IF(F153&lt;&gt;"",1+MAX($B$22:B152),"")</f>
        <v/>
      </c>
      <c r="C153" s="52"/>
      <c r="D153" s="50"/>
      <c r="E153" s="23"/>
      <c r="F153" s="39"/>
      <c r="G153" s="17"/>
      <c r="H153" s="17">
        <f t="shared" si="60"/>
        <v>0</v>
      </c>
      <c r="I153" s="17">
        <f t="shared" si="58"/>
        <v>0</v>
      </c>
      <c r="J153" s="15"/>
      <c r="K153" s="10">
        <f t="shared" si="61"/>
        <v>0</v>
      </c>
      <c r="L153" s="10"/>
      <c r="M153" s="17"/>
      <c r="N153" s="17">
        <f t="shared" si="62"/>
        <v>0</v>
      </c>
      <c r="O153" s="17">
        <f t="shared" si="63"/>
        <v>0</v>
      </c>
      <c r="P153" s="17">
        <f t="shared" si="59"/>
        <v>0</v>
      </c>
      <c r="Q153" s="17">
        <f t="shared" si="64"/>
        <v>0</v>
      </c>
      <c r="R153" s="49"/>
    </row>
    <row r="154" spans="2:19" x14ac:dyDescent="0.25">
      <c r="B154" s="63" t="str">
        <f>IF(F154&lt;&gt;"",1+MAX($B$22:B153),"")</f>
        <v/>
      </c>
      <c r="C154" s="64"/>
      <c r="D154" s="65" t="s">
        <v>150</v>
      </c>
      <c r="E154" s="23"/>
      <c r="F154" s="39"/>
      <c r="G154" s="17"/>
      <c r="H154" s="17">
        <f t="shared" si="60"/>
        <v>0</v>
      </c>
      <c r="I154" s="17">
        <f t="shared" si="58"/>
        <v>0</v>
      </c>
      <c r="J154" s="15"/>
      <c r="K154" s="10">
        <f t="shared" si="61"/>
        <v>0</v>
      </c>
      <c r="L154" s="10"/>
      <c r="M154" s="17"/>
      <c r="N154" s="17">
        <f t="shared" si="62"/>
        <v>0</v>
      </c>
      <c r="O154" s="17">
        <f t="shared" si="63"/>
        <v>0</v>
      </c>
      <c r="P154" s="17">
        <f t="shared" si="59"/>
        <v>0</v>
      </c>
      <c r="Q154" s="17">
        <f t="shared" si="64"/>
        <v>0</v>
      </c>
      <c r="R154" s="49"/>
    </row>
    <row r="155" spans="2:19" ht="41.4" x14ac:dyDescent="0.25">
      <c r="B155" s="48">
        <f>IF(F155&lt;&gt;"",1+MAX($B$22:B154),"")</f>
        <v>59</v>
      </c>
      <c r="C155" s="52" t="s">
        <v>148</v>
      </c>
      <c r="D155" s="8" t="s">
        <v>151</v>
      </c>
      <c r="E155" s="23" t="s">
        <v>121</v>
      </c>
      <c r="F155" s="39">
        <v>2</v>
      </c>
      <c r="G155" s="17">
        <v>1825</v>
      </c>
      <c r="H155" s="17">
        <f t="shared" si="60"/>
        <v>1642.5</v>
      </c>
      <c r="I155" s="17">
        <f t="shared" si="58"/>
        <v>3285</v>
      </c>
      <c r="J155" s="15">
        <v>25.704662293919519</v>
      </c>
      <c r="K155" s="10">
        <f t="shared" si="61"/>
        <v>51.409324587839038</v>
      </c>
      <c r="L155" s="79" t="s">
        <v>237</v>
      </c>
      <c r="M155" s="80">
        <v>56.41</v>
      </c>
      <c r="N155" s="17">
        <f t="shared" si="62"/>
        <v>75.589399999999998</v>
      </c>
      <c r="O155" s="17">
        <f t="shared" si="63"/>
        <v>1943</v>
      </c>
      <c r="P155" s="17">
        <f t="shared" si="59"/>
        <v>3886</v>
      </c>
      <c r="Q155" s="17">
        <f t="shared" si="64"/>
        <v>7171</v>
      </c>
      <c r="R155" s="49"/>
    </row>
    <row r="156" spans="2:19" x14ac:dyDescent="0.25">
      <c r="B156" s="48" t="str">
        <f>IF(F156&lt;&gt;"",1+MAX($B$22:B155),"")</f>
        <v/>
      </c>
      <c r="C156" s="52"/>
      <c r="D156" s="50"/>
      <c r="E156" s="23"/>
      <c r="F156" s="39"/>
      <c r="G156" s="17"/>
      <c r="H156" s="17">
        <f t="shared" si="60"/>
        <v>0</v>
      </c>
      <c r="I156" s="17">
        <f t="shared" si="58"/>
        <v>0</v>
      </c>
      <c r="J156" s="15"/>
      <c r="K156" s="10">
        <f t="shared" si="61"/>
        <v>0</v>
      </c>
      <c r="L156" s="10"/>
      <c r="M156" s="17"/>
      <c r="N156" s="17">
        <f t="shared" si="62"/>
        <v>0</v>
      </c>
      <c r="O156" s="17">
        <f t="shared" si="63"/>
        <v>0</v>
      </c>
      <c r="P156" s="17">
        <f t="shared" si="59"/>
        <v>0</v>
      </c>
      <c r="Q156" s="17">
        <f t="shared" si="64"/>
        <v>0</v>
      </c>
      <c r="R156" s="49"/>
    </row>
    <row r="157" spans="2:19" x14ac:dyDescent="0.25">
      <c r="B157" s="63" t="str">
        <f>IF(F157&lt;&gt;"",1+MAX($B$22:B156),"")</f>
        <v/>
      </c>
      <c r="C157" s="64"/>
      <c r="D157" s="65" t="s">
        <v>152</v>
      </c>
      <c r="E157" s="23"/>
      <c r="F157" s="39"/>
      <c r="G157" s="17"/>
      <c r="H157" s="17">
        <f t="shared" si="60"/>
        <v>0</v>
      </c>
      <c r="I157" s="17">
        <f t="shared" si="58"/>
        <v>0</v>
      </c>
      <c r="J157" s="15"/>
      <c r="K157" s="10">
        <f t="shared" si="61"/>
        <v>0</v>
      </c>
      <c r="L157" s="10"/>
      <c r="M157" s="17"/>
      <c r="N157" s="17">
        <f t="shared" si="62"/>
        <v>0</v>
      </c>
      <c r="O157" s="17">
        <f t="shared" si="63"/>
        <v>0</v>
      </c>
      <c r="P157" s="17">
        <f t="shared" si="59"/>
        <v>0</v>
      </c>
      <c r="Q157" s="17">
        <f t="shared" si="64"/>
        <v>0</v>
      </c>
      <c r="R157" s="49"/>
    </row>
    <row r="158" spans="2:19" x14ac:dyDescent="0.25">
      <c r="B158" s="48">
        <f>IF(F158&lt;&gt;"",1+MAX($B$22:B157),"")</f>
        <v>60</v>
      </c>
      <c r="C158" s="52" t="s">
        <v>148</v>
      </c>
      <c r="D158" s="8" t="s">
        <v>152</v>
      </c>
      <c r="E158" s="23" t="s">
        <v>121</v>
      </c>
      <c r="F158" s="39">
        <v>2</v>
      </c>
      <c r="G158" s="17">
        <v>2975</v>
      </c>
      <c r="H158" s="17">
        <f t="shared" si="60"/>
        <v>2677.5</v>
      </c>
      <c r="I158" s="17">
        <f t="shared" si="58"/>
        <v>5355</v>
      </c>
      <c r="J158" s="15">
        <v>49.193405424570116</v>
      </c>
      <c r="K158" s="10">
        <f t="shared" si="61"/>
        <v>98.386810849140232</v>
      </c>
      <c r="L158" s="79" t="s">
        <v>237</v>
      </c>
      <c r="M158" s="80">
        <v>56.41</v>
      </c>
      <c r="N158" s="17">
        <f t="shared" si="62"/>
        <v>75.589399999999998</v>
      </c>
      <c r="O158" s="17">
        <f t="shared" si="63"/>
        <v>3718.5000000000005</v>
      </c>
      <c r="P158" s="17">
        <f t="shared" si="59"/>
        <v>7437.0000000000009</v>
      </c>
      <c r="Q158" s="17">
        <f t="shared" si="64"/>
        <v>12792</v>
      </c>
      <c r="R158" s="49"/>
    </row>
    <row r="159" spans="2:19" x14ac:dyDescent="0.25">
      <c r="B159" s="48" t="str">
        <f>IF(F159&lt;&gt;"",1+MAX($B$22:B158),"")</f>
        <v/>
      </c>
      <c r="C159" s="52"/>
      <c r="D159" s="50"/>
      <c r="E159" s="23"/>
      <c r="F159" s="39"/>
      <c r="G159" s="17"/>
      <c r="H159" s="17">
        <f t="shared" si="60"/>
        <v>0</v>
      </c>
      <c r="I159" s="17">
        <f t="shared" si="58"/>
        <v>0</v>
      </c>
      <c r="J159" s="15"/>
      <c r="K159" s="10">
        <f t="shared" si="61"/>
        <v>0</v>
      </c>
      <c r="L159" s="10"/>
      <c r="M159" s="17"/>
      <c r="N159" s="17">
        <f t="shared" si="62"/>
        <v>0</v>
      </c>
      <c r="O159" s="17">
        <f t="shared" si="63"/>
        <v>0</v>
      </c>
      <c r="P159" s="17">
        <f t="shared" si="59"/>
        <v>0</v>
      </c>
      <c r="Q159" s="17">
        <f t="shared" si="64"/>
        <v>0</v>
      </c>
      <c r="R159" s="49"/>
    </row>
    <row r="160" spans="2:19" x14ac:dyDescent="0.25">
      <c r="B160" s="63" t="str">
        <f>IF(F160&lt;&gt;"",1+MAX($B$22:B159),"")</f>
        <v/>
      </c>
      <c r="C160" s="64"/>
      <c r="D160" s="65" t="s">
        <v>185</v>
      </c>
      <c r="E160" s="23"/>
      <c r="F160" s="39"/>
      <c r="G160" s="17"/>
      <c r="H160" s="17">
        <f t="shared" si="60"/>
        <v>0</v>
      </c>
      <c r="I160" s="17">
        <f t="shared" si="58"/>
        <v>0</v>
      </c>
      <c r="J160" s="15"/>
      <c r="K160" s="10">
        <f t="shared" si="61"/>
        <v>0</v>
      </c>
      <c r="L160" s="79"/>
      <c r="M160" s="80"/>
      <c r="N160" s="17">
        <f t="shared" si="62"/>
        <v>0</v>
      </c>
      <c r="O160" s="17">
        <f t="shared" si="63"/>
        <v>0</v>
      </c>
      <c r="P160" s="17">
        <f t="shared" si="59"/>
        <v>0</v>
      </c>
      <c r="Q160" s="17">
        <f t="shared" si="64"/>
        <v>0</v>
      </c>
      <c r="R160" s="49"/>
    </row>
    <row r="161" spans="2:19" x14ac:dyDescent="0.25">
      <c r="B161" s="48">
        <f>IF(F161&lt;&gt;"",1+MAX($B$22:B160),"")</f>
        <v>61</v>
      </c>
      <c r="C161" s="52" t="s">
        <v>153</v>
      </c>
      <c r="D161" s="8" t="s">
        <v>154</v>
      </c>
      <c r="E161" s="23" t="s">
        <v>121</v>
      </c>
      <c r="F161" s="39">
        <v>2</v>
      </c>
      <c r="G161" s="17">
        <v>450</v>
      </c>
      <c r="H161" s="17">
        <f t="shared" si="60"/>
        <v>405</v>
      </c>
      <c r="I161" s="17">
        <f t="shared" si="58"/>
        <v>810</v>
      </c>
      <c r="J161" s="15">
        <v>2.125</v>
      </c>
      <c r="K161" s="10">
        <f t="shared" si="61"/>
        <v>4.25</v>
      </c>
      <c r="L161" s="79" t="s">
        <v>243</v>
      </c>
      <c r="M161" s="80">
        <v>55.51</v>
      </c>
      <c r="N161" s="17">
        <f t="shared" si="62"/>
        <v>74.383400000000009</v>
      </c>
      <c r="O161" s="17">
        <f t="shared" si="63"/>
        <v>158.06472500000001</v>
      </c>
      <c r="P161" s="17">
        <f t="shared" si="59"/>
        <v>316.12945000000002</v>
      </c>
      <c r="Q161" s="17">
        <f t="shared" si="64"/>
        <v>1126.1294499999999</v>
      </c>
      <c r="R161" s="49"/>
    </row>
    <row r="162" spans="2:19" x14ac:dyDescent="0.25">
      <c r="B162" s="48" t="str">
        <f>IF(F162&lt;&gt;"",1+MAX($B$22:B161),"")</f>
        <v/>
      </c>
      <c r="C162" s="52"/>
      <c r="D162" s="8"/>
      <c r="E162" s="23"/>
      <c r="F162" s="71"/>
      <c r="G162" s="17"/>
      <c r="H162" s="17">
        <f t="shared" si="60"/>
        <v>0</v>
      </c>
      <c r="I162" s="17">
        <f t="shared" si="58"/>
        <v>0</v>
      </c>
      <c r="J162" s="15"/>
      <c r="K162" s="10">
        <f t="shared" si="61"/>
        <v>0</v>
      </c>
      <c r="L162" s="79"/>
      <c r="M162" s="80"/>
      <c r="N162" s="17">
        <f t="shared" si="62"/>
        <v>0</v>
      </c>
      <c r="O162" s="17">
        <f t="shared" si="63"/>
        <v>0</v>
      </c>
      <c r="P162" s="17">
        <f t="shared" si="59"/>
        <v>0</v>
      </c>
      <c r="Q162" s="17">
        <f t="shared" si="64"/>
        <v>0</v>
      </c>
      <c r="R162" s="49"/>
    </row>
    <row r="163" spans="2:19" x14ac:dyDescent="0.25">
      <c r="B163" s="63" t="str">
        <f>IF(F163&lt;&gt;"",1+MAX($B$22:B162),"")</f>
        <v/>
      </c>
      <c r="C163" s="64"/>
      <c r="D163" s="65" t="s">
        <v>166</v>
      </c>
      <c r="E163" s="23"/>
      <c r="F163" s="39"/>
      <c r="G163" s="17"/>
      <c r="H163" s="17">
        <f t="shared" si="60"/>
        <v>0</v>
      </c>
      <c r="I163" s="17">
        <f t="shared" si="58"/>
        <v>0</v>
      </c>
      <c r="J163" s="15"/>
      <c r="K163" s="10">
        <f t="shared" si="61"/>
        <v>0</v>
      </c>
      <c r="L163" s="79"/>
      <c r="M163" s="80"/>
      <c r="N163" s="17">
        <f t="shared" si="62"/>
        <v>0</v>
      </c>
      <c r="O163" s="17">
        <f t="shared" si="63"/>
        <v>0</v>
      </c>
      <c r="P163" s="17">
        <f t="shared" si="59"/>
        <v>0</v>
      </c>
      <c r="Q163" s="17">
        <f t="shared" si="64"/>
        <v>0</v>
      </c>
      <c r="R163" s="49"/>
    </row>
    <row r="164" spans="2:19" x14ac:dyDescent="0.25">
      <c r="B164" s="48">
        <f>IF(F164&lt;&gt;"",1+MAX($B$22:B163),"")</f>
        <v>62</v>
      </c>
      <c r="C164" s="131" t="s">
        <v>153</v>
      </c>
      <c r="D164" s="8" t="s">
        <v>167</v>
      </c>
      <c r="E164" s="23" t="s">
        <v>121</v>
      </c>
      <c r="F164" s="39">
        <v>1</v>
      </c>
      <c r="G164" s="17">
        <v>120</v>
      </c>
      <c r="H164" s="17">
        <f t="shared" si="60"/>
        <v>108</v>
      </c>
      <c r="I164" s="17">
        <f t="shared" si="58"/>
        <v>108</v>
      </c>
      <c r="J164" s="15">
        <v>0.5</v>
      </c>
      <c r="K164" s="10">
        <f t="shared" si="61"/>
        <v>0.5</v>
      </c>
      <c r="L164" s="79" t="s">
        <v>240</v>
      </c>
      <c r="M164" s="80">
        <v>58</v>
      </c>
      <c r="N164" s="17">
        <f t="shared" si="62"/>
        <v>77.72</v>
      </c>
      <c r="O164" s="17">
        <f t="shared" si="63"/>
        <v>38.86</v>
      </c>
      <c r="P164" s="17">
        <f t="shared" si="59"/>
        <v>38.86</v>
      </c>
      <c r="Q164" s="17">
        <f t="shared" si="64"/>
        <v>146.86000000000001</v>
      </c>
      <c r="R164" s="49"/>
    </row>
    <row r="165" spans="2:19" x14ac:dyDescent="0.25">
      <c r="B165" s="48">
        <f>IF(F165&lt;&gt;"",1+MAX($B$22:B164),"")</f>
        <v>63</v>
      </c>
      <c r="C165" s="131"/>
      <c r="D165" s="8" t="s">
        <v>168</v>
      </c>
      <c r="E165" s="23" t="s">
        <v>121</v>
      </c>
      <c r="F165" s="39">
        <v>2</v>
      </c>
      <c r="G165" s="17">
        <v>120</v>
      </c>
      <c r="H165" s="17">
        <f t="shared" si="60"/>
        <v>108</v>
      </c>
      <c r="I165" s="17">
        <f t="shared" si="58"/>
        <v>216</v>
      </c>
      <c r="J165" s="15">
        <v>0.5</v>
      </c>
      <c r="K165" s="10">
        <f t="shared" si="61"/>
        <v>1</v>
      </c>
      <c r="L165" s="79" t="s">
        <v>240</v>
      </c>
      <c r="M165" s="80">
        <v>58</v>
      </c>
      <c r="N165" s="17">
        <f t="shared" si="62"/>
        <v>77.72</v>
      </c>
      <c r="O165" s="17">
        <f t="shared" si="63"/>
        <v>38.86</v>
      </c>
      <c r="P165" s="17">
        <f t="shared" si="59"/>
        <v>77.72</v>
      </c>
      <c r="Q165" s="17">
        <f t="shared" si="64"/>
        <v>293.72000000000003</v>
      </c>
      <c r="R165" s="49"/>
    </row>
    <row r="166" spans="2:19" x14ac:dyDescent="0.25">
      <c r="B166" s="48">
        <f>IF(F166&lt;&gt;"",1+MAX($B$22:B165),"")</f>
        <v>64</v>
      </c>
      <c r="C166" s="131"/>
      <c r="D166" s="8" t="s">
        <v>169</v>
      </c>
      <c r="E166" s="23" t="s">
        <v>121</v>
      </c>
      <c r="F166" s="39">
        <v>1</v>
      </c>
      <c r="G166" s="17">
        <v>120</v>
      </c>
      <c r="H166" s="17">
        <f t="shared" si="60"/>
        <v>108</v>
      </c>
      <c r="I166" s="17">
        <f t="shared" si="58"/>
        <v>108</v>
      </c>
      <c r="J166" s="15">
        <v>0.5</v>
      </c>
      <c r="K166" s="10">
        <f t="shared" si="61"/>
        <v>0.5</v>
      </c>
      <c r="L166" s="79" t="s">
        <v>240</v>
      </c>
      <c r="M166" s="80">
        <v>58</v>
      </c>
      <c r="N166" s="17">
        <f t="shared" si="62"/>
        <v>77.72</v>
      </c>
      <c r="O166" s="17">
        <f t="shared" si="63"/>
        <v>38.86</v>
      </c>
      <c r="P166" s="17">
        <f t="shared" si="59"/>
        <v>38.86</v>
      </c>
      <c r="Q166" s="17">
        <f t="shared" si="64"/>
        <v>146.86000000000001</v>
      </c>
      <c r="R166" s="49"/>
    </row>
    <row r="167" spans="2:19" x14ac:dyDescent="0.25">
      <c r="B167" s="48" t="str">
        <f>IF(F167&lt;&gt;"",1+MAX($B$22:B166),"")</f>
        <v/>
      </c>
      <c r="C167" s="52"/>
      <c r="D167" s="50"/>
      <c r="E167" s="23"/>
      <c r="F167" s="39"/>
      <c r="G167" s="17"/>
      <c r="H167" s="17">
        <f t="shared" si="60"/>
        <v>0</v>
      </c>
      <c r="I167" s="17">
        <f t="shared" si="58"/>
        <v>0</v>
      </c>
      <c r="J167" s="15"/>
      <c r="K167" s="10">
        <f t="shared" si="61"/>
        <v>0</v>
      </c>
      <c r="L167" s="79"/>
      <c r="M167" s="80"/>
      <c r="N167" s="17">
        <f t="shared" si="62"/>
        <v>0</v>
      </c>
      <c r="O167" s="17">
        <f t="shared" si="63"/>
        <v>0</v>
      </c>
      <c r="P167" s="17">
        <f t="shared" si="59"/>
        <v>0</v>
      </c>
      <c r="Q167" s="17">
        <f t="shared" si="64"/>
        <v>0</v>
      </c>
      <c r="R167" s="49"/>
    </row>
    <row r="168" spans="2:19" x14ac:dyDescent="0.25">
      <c r="B168" s="63" t="str">
        <f>IF(F168&lt;&gt;"",1+MAX($B$22:B167),"")</f>
        <v/>
      </c>
      <c r="C168" s="64"/>
      <c r="D168" s="65" t="s">
        <v>155</v>
      </c>
      <c r="E168" s="23"/>
      <c r="F168" s="39"/>
      <c r="G168" s="17"/>
      <c r="H168" s="17">
        <f t="shared" si="60"/>
        <v>0</v>
      </c>
      <c r="I168" s="17">
        <f t="shared" si="58"/>
        <v>0</v>
      </c>
      <c r="J168" s="15"/>
      <c r="K168" s="10">
        <f t="shared" si="61"/>
        <v>0</v>
      </c>
      <c r="L168" s="10"/>
      <c r="M168" s="17"/>
      <c r="N168" s="17">
        <f t="shared" si="62"/>
        <v>0</v>
      </c>
      <c r="O168" s="17">
        <f t="shared" si="63"/>
        <v>0</v>
      </c>
      <c r="P168" s="17">
        <f t="shared" si="59"/>
        <v>0</v>
      </c>
      <c r="Q168" s="17">
        <f t="shared" si="64"/>
        <v>0</v>
      </c>
      <c r="R168" s="49"/>
    </row>
    <row r="169" spans="2:19" ht="41.4" x14ac:dyDescent="0.25">
      <c r="B169" s="48">
        <f>IF(F169&lt;&gt;"",1+MAX($B$22:B168),"")</f>
        <v>65</v>
      </c>
      <c r="C169" s="52" t="s">
        <v>148</v>
      </c>
      <c r="D169" s="8" t="s">
        <v>156</v>
      </c>
      <c r="E169" s="23" t="s">
        <v>121</v>
      </c>
      <c r="F169" s="39">
        <v>1</v>
      </c>
      <c r="G169" s="17">
        <v>1100</v>
      </c>
      <c r="H169" s="17">
        <f t="shared" si="60"/>
        <v>990</v>
      </c>
      <c r="I169" s="17">
        <f t="shared" si="58"/>
        <v>990</v>
      </c>
      <c r="J169" s="15">
        <v>6</v>
      </c>
      <c r="K169" s="10">
        <f t="shared" si="61"/>
        <v>6</v>
      </c>
      <c r="L169" s="79" t="s">
        <v>240</v>
      </c>
      <c r="M169" s="80">
        <v>58</v>
      </c>
      <c r="N169" s="17">
        <f t="shared" si="62"/>
        <v>77.72</v>
      </c>
      <c r="O169" s="17">
        <f t="shared" si="63"/>
        <v>466.32</v>
      </c>
      <c r="P169" s="17">
        <f t="shared" si="59"/>
        <v>466.32</v>
      </c>
      <c r="Q169" s="17">
        <f t="shared" si="64"/>
        <v>1456.32</v>
      </c>
      <c r="R169" s="49"/>
    </row>
    <row r="170" spans="2:19" x14ac:dyDescent="0.25">
      <c r="B170" s="48" t="str">
        <f>IF(F170&lt;&gt;"",1+MAX($B$22:B169),"")</f>
        <v/>
      </c>
      <c r="C170" s="52"/>
      <c r="D170" s="8"/>
      <c r="E170" s="23"/>
      <c r="F170" s="39"/>
      <c r="G170" s="17"/>
      <c r="H170" s="17">
        <f t="shared" si="60"/>
        <v>0</v>
      </c>
      <c r="I170" s="17">
        <f t="shared" si="58"/>
        <v>0</v>
      </c>
      <c r="J170" s="15"/>
      <c r="K170" s="10">
        <f t="shared" si="61"/>
        <v>0</v>
      </c>
      <c r="L170" s="10"/>
      <c r="M170" s="17"/>
      <c r="N170" s="17">
        <f t="shared" si="62"/>
        <v>0</v>
      </c>
      <c r="O170" s="17">
        <f t="shared" si="63"/>
        <v>0</v>
      </c>
      <c r="P170" s="17">
        <f t="shared" si="59"/>
        <v>0</v>
      </c>
      <c r="Q170" s="17">
        <f t="shared" si="64"/>
        <v>0</v>
      </c>
      <c r="R170" s="49"/>
      <c r="S170" s="12"/>
    </row>
    <row r="171" spans="2:19" x14ac:dyDescent="0.25">
      <c r="B171" s="63" t="str">
        <f>IF(F171&lt;&gt;"",1+MAX($B$22:B170),"")</f>
        <v/>
      </c>
      <c r="C171" s="64"/>
      <c r="D171" s="65" t="s">
        <v>203</v>
      </c>
      <c r="E171" s="23"/>
      <c r="F171" s="39"/>
      <c r="G171" s="17"/>
      <c r="H171" s="17">
        <f t="shared" si="60"/>
        <v>0</v>
      </c>
      <c r="I171" s="17">
        <f t="shared" si="58"/>
        <v>0</v>
      </c>
      <c r="J171" s="15"/>
      <c r="K171" s="10">
        <f t="shared" si="61"/>
        <v>0</v>
      </c>
      <c r="L171" s="10"/>
      <c r="M171" s="17"/>
      <c r="N171" s="17">
        <f t="shared" si="62"/>
        <v>0</v>
      </c>
      <c r="O171" s="17">
        <f t="shared" si="63"/>
        <v>0</v>
      </c>
      <c r="P171" s="17">
        <f t="shared" si="59"/>
        <v>0</v>
      </c>
      <c r="Q171" s="17">
        <f t="shared" si="64"/>
        <v>0</v>
      </c>
      <c r="R171" s="49"/>
    </row>
    <row r="172" spans="2:19" x14ac:dyDescent="0.25">
      <c r="B172" s="48" t="str">
        <f>IF(F172&lt;&gt;"",1+MAX($B$22:B171),"")</f>
        <v/>
      </c>
      <c r="C172" s="52"/>
      <c r="D172" s="48"/>
      <c r="E172" s="52"/>
      <c r="F172" s="50"/>
      <c r="G172" s="17"/>
      <c r="H172" s="17">
        <f t="shared" si="60"/>
        <v>0</v>
      </c>
      <c r="I172" s="17">
        <f t="shared" si="58"/>
        <v>0</v>
      </c>
      <c r="J172" s="15"/>
      <c r="K172" s="10">
        <f t="shared" si="61"/>
        <v>0</v>
      </c>
      <c r="L172" s="10"/>
      <c r="M172" s="17"/>
      <c r="N172" s="17">
        <f t="shared" si="62"/>
        <v>0</v>
      </c>
      <c r="O172" s="17">
        <f t="shared" si="63"/>
        <v>0</v>
      </c>
      <c r="P172" s="17">
        <f t="shared" si="59"/>
        <v>0</v>
      </c>
      <c r="Q172" s="17">
        <f t="shared" si="64"/>
        <v>0</v>
      </c>
      <c r="R172" s="49"/>
    </row>
    <row r="173" spans="2:19" x14ac:dyDescent="0.25">
      <c r="B173" s="48" t="str">
        <f>IF(F173&lt;&gt;"",1+MAX($B$22:B172),"")</f>
        <v/>
      </c>
      <c r="C173" s="52"/>
      <c r="D173" s="50" t="s">
        <v>51</v>
      </c>
      <c r="E173" s="23"/>
      <c r="F173" s="39"/>
      <c r="G173" s="17"/>
      <c r="H173" s="17">
        <f t="shared" si="60"/>
        <v>0</v>
      </c>
      <c r="I173" s="17">
        <f t="shared" si="58"/>
        <v>0</v>
      </c>
      <c r="J173" s="15"/>
      <c r="K173" s="10">
        <f t="shared" si="61"/>
        <v>0</v>
      </c>
      <c r="L173" s="10"/>
      <c r="M173" s="17"/>
      <c r="N173" s="17">
        <f t="shared" si="62"/>
        <v>0</v>
      </c>
      <c r="O173" s="17">
        <f t="shared" si="63"/>
        <v>0</v>
      </c>
      <c r="P173" s="17">
        <f t="shared" si="59"/>
        <v>0</v>
      </c>
      <c r="Q173" s="17">
        <f t="shared" si="64"/>
        <v>0</v>
      </c>
      <c r="R173" s="49"/>
    </row>
    <row r="174" spans="2:19" x14ac:dyDescent="0.25">
      <c r="B174" s="48">
        <f>IF(F174&lt;&gt;"",1+MAX($B$22:B173),"")</f>
        <v>66</v>
      </c>
      <c r="C174" s="131"/>
      <c r="D174" s="8" t="s">
        <v>204</v>
      </c>
      <c r="E174" s="23" t="s">
        <v>49</v>
      </c>
      <c r="F174" s="71">
        <f>(240*5*2)/27</f>
        <v>88.888888888888886</v>
      </c>
      <c r="G174" s="75"/>
      <c r="H174" s="75">
        <f t="shared" si="60"/>
        <v>0</v>
      </c>
      <c r="I174" s="75">
        <f t="shared" si="58"/>
        <v>0</v>
      </c>
      <c r="J174" s="15">
        <v>0.67900000000000005</v>
      </c>
      <c r="K174" s="10">
        <f t="shared" si="61"/>
        <v>60.355555555555554</v>
      </c>
      <c r="L174" s="79" t="s">
        <v>230</v>
      </c>
      <c r="M174" s="80">
        <v>42.1</v>
      </c>
      <c r="N174" s="17">
        <f t="shared" si="62"/>
        <v>56.414000000000009</v>
      </c>
      <c r="O174" s="17">
        <f t="shared" si="63"/>
        <v>38.305106000000009</v>
      </c>
      <c r="P174" s="17">
        <f t="shared" si="59"/>
        <v>3404.898311111112</v>
      </c>
      <c r="Q174" s="17">
        <f t="shared" si="64"/>
        <v>3404.898311111112</v>
      </c>
      <c r="R174" s="49"/>
    </row>
    <row r="175" spans="2:19" x14ac:dyDescent="0.25">
      <c r="B175" s="48" t="str">
        <f>IF(F175&lt;&gt;"",1+MAX($B$22:B174),"")</f>
        <v/>
      </c>
      <c r="C175" s="131"/>
      <c r="D175" s="48"/>
      <c r="E175" s="52"/>
      <c r="F175" s="50"/>
      <c r="G175" s="17"/>
      <c r="H175" s="17">
        <f t="shared" si="60"/>
        <v>0</v>
      </c>
      <c r="I175" s="17">
        <f t="shared" si="58"/>
        <v>0</v>
      </c>
      <c r="J175" s="15"/>
      <c r="K175" s="10">
        <f t="shared" si="61"/>
        <v>0</v>
      </c>
      <c r="L175" s="10"/>
      <c r="M175" s="17"/>
      <c r="N175" s="17">
        <f t="shared" si="62"/>
        <v>0</v>
      </c>
      <c r="O175" s="17">
        <f t="shared" si="63"/>
        <v>0</v>
      </c>
      <c r="P175" s="17">
        <f t="shared" si="59"/>
        <v>0</v>
      </c>
      <c r="Q175" s="17">
        <f t="shared" si="64"/>
        <v>0</v>
      </c>
      <c r="R175" s="49"/>
    </row>
    <row r="176" spans="2:19" x14ac:dyDescent="0.25">
      <c r="B176" s="48" t="str">
        <f>IF(F176&lt;&gt;"",1+MAX($B$22:B175),"")</f>
        <v/>
      </c>
      <c r="C176" s="131"/>
      <c r="D176" s="50" t="s">
        <v>52</v>
      </c>
      <c r="E176" s="23"/>
      <c r="F176" s="39"/>
      <c r="G176" s="17"/>
      <c r="H176" s="17">
        <f t="shared" si="60"/>
        <v>0</v>
      </c>
      <c r="I176" s="17">
        <f t="shared" si="58"/>
        <v>0</v>
      </c>
      <c r="J176" s="15"/>
      <c r="K176" s="10">
        <f t="shared" si="61"/>
        <v>0</v>
      </c>
      <c r="L176" s="10"/>
      <c r="M176" s="17"/>
      <c r="N176" s="17">
        <f t="shared" si="62"/>
        <v>0</v>
      </c>
      <c r="O176" s="17">
        <f t="shared" si="63"/>
        <v>0</v>
      </c>
      <c r="P176" s="17">
        <f t="shared" si="59"/>
        <v>0</v>
      </c>
      <c r="Q176" s="17">
        <f t="shared" si="64"/>
        <v>0</v>
      </c>
      <c r="R176" s="49"/>
    </row>
    <row r="177" spans="2:36" x14ac:dyDescent="0.25">
      <c r="B177" s="48">
        <f>IF(F177&lt;&gt;"",1+MAX($B$22:B176),"")</f>
        <v>67</v>
      </c>
      <c r="C177" s="131"/>
      <c r="D177" s="8" t="s">
        <v>205</v>
      </c>
      <c r="E177" s="23" t="s">
        <v>49</v>
      </c>
      <c r="F177" s="71">
        <f>(240*5*1.5)/27</f>
        <v>66.666666666666671</v>
      </c>
      <c r="G177" s="75"/>
      <c r="H177" s="75">
        <f t="shared" si="60"/>
        <v>0</v>
      </c>
      <c r="I177" s="75">
        <f t="shared" si="58"/>
        <v>0</v>
      </c>
      <c r="J177" s="15">
        <v>0.36099999999999999</v>
      </c>
      <c r="K177" s="10">
        <f t="shared" si="61"/>
        <v>24.066666666666666</v>
      </c>
      <c r="L177" s="79" t="s">
        <v>230</v>
      </c>
      <c r="M177" s="80">
        <v>42.1</v>
      </c>
      <c r="N177" s="17">
        <f t="shared" si="62"/>
        <v>56.414000000000009</v>
      </c>
      <c r="O177" s="17">
        <f t="shared" si="63"/>
        <v>20.365454000000003</v>
      </c>
      <c r="P177" s="17">
        <f t="shared" si="59"/>
        <v>1357.6969333333336</v>
      </c>
      <c r="Q177" s="17">
        <f t="shared" si="64"/>
        <v>1357.6969333333336</v>
      </c>
      <c r="R177" s="49"/>
    </row>
    <row r="178" spans="2:36" x14ac:dyDescent="0.25">
      <c r="B178" s="48" t="str">
        <f>IF(F178&lt;&gt;"",1+MAX($B$22:B177),"")</f>
        <v/>
      </c>
      <c r="C178" s="131"/>
      <c r="D178" s="8"/>
      <c r="E178" s="23"/>
      <c r="F178" s="39"/>
      <c r="G178" s="17"/>
      <c r="H178" s="17">
        <f t="shared" si="60"/>
        <v>0</v>
      </c>
      <c r="I178" s="17">
        <f t="shared" si="58"/>
        <v>0</v>
      </c>
      <c r="J178" s="15"/>
      <c r="K178" s="10">
        <f t="shared" si="61"/>
        <v>0</v>
      </c>
      <c r="L178" s="10"/>
      <c r="M178" s="17"/>
      <c r="N178" s="17">
        <f t="shared" si="62"/>
        <v>0</v>
      </c>
      <c r="O178" s="17">
        <f t="shared" si="63"/>
        <v>0</v>
      </c>
      <c r="P178" s="17">
        <f t="shared" si="59"/>
        <v>0</v>
      </c>
      <c r="Q178" s="17">
        <f t="shared" si="64"/>
        <v>0</v>
      </c>
      <c r="R178" s="49"/>
    </row>
    <row r="179" spans="2:36" x14ac:dyDescent="0.25">
      <c r="B179" s="48" t="str">
        <f>IF(F179&lt;&gt;"",1+MAX($B$22:B178),"")</f>
        <v/>
      </c>
      <c r="C179" s="131"/>
      <c r="D179" s="50" t="s">
        <v>53</v>
      </c>
      <c r="E179" s="23"/>
      <c r="F179" s="39"/>
      <c r="G179" s="17"/>
      <c r="H179" s="17">
        <f t="shared" si="60"/>
        <v>0</v>
      </c>
      <c r="I179" s="17">
        <f t="shared" si="58"/>
        <v>0</v>
      </c>
      <c r="J179" s="15"/>
      <c r="K179" s="10">
        <f t="shared" si="61"/>
        <v>0</v>
      </c>
      <c r="L179" s="10"/>
      <c r="M179" s="17"/>
      <c r="N179" s="17">
        <f t="shared" si="62"/>
        <v>0</v>
      </c>
      <c r="O179" s="17">
        <f t="shared" si="63"/>
        <v>0</v>
      </c>
      <c r="P179" s="17">
        <f t="shared" si="59"/>
        <v>0</v>
      </c>
      <c r="Q179" s="17">
        <f t="shared" si="64"/>
        <v>0</v>
      </c>
      <c r="R179" s="49"/>
    </row>
    <row r="180" spans="2:36" x14ac:dyDescent="0.25">
      <c r="B180" s="48">
        <f>IF(F180&lt;&gt;"",1+MAX($B$22:B179),"")</f>
        <v>68</v>
      </c>
      <c r="C180" s="131"/>
      <c r="D180" s="8" t="s">
        <v>54</v>
      </c>
      <c r="E180" s="23" t="s">
        <v>49</v>
      </c>
      <c r="F180" s="71">
        <f>F174-F177</f>
        <v>22.222222222222214</v>
      </c>
      <c r="G180" s="75"/>
      <c r="H180" s="75">
        <f t="shared" si="60"/>
        <v>0</v>
      </c>
      <c r="I180" s="75">
        <f t="shared" si="58"/>
        <v>0</v>
      </c>
      <c r="J180" s="15">
        <v>0.17</v>
      </c>
      <c r="K180" s="10">
        <f t="shared" si="61"/>
        <v>3.7777777777777768</v>
      </c>
      <c r="L180" s="79" t="s">
        <v>230</v>
      </c>
      <c r="M180" s="80">
        <v>42.1</v>
      </c>
      <c r="N180" s="17">
        <f t="shared" si="62"/>
        <v>56.414000000000009</v>
      </c>
      <c r="O180" s="17">
        <f t="shared" si="63"/>
        <v>9.5903800000000015</v>
      </c>
      <c r="P180" s="17">
        <f t="shared" si="59"/>
        <v>213.11955555555551</v>
      </c>
      <c r="Q180" s="17">
        <f t="shared" si="64"/>
        <v>213.11955555555551</v>
      </c>
      <c r="R180" s="49"/>
    </row>
    <row r="181" spans="2:36" x14ac:dyDescent="0.25">
      <c r="B181" s="48"/>
      <c r="C181" s="52"/>
      <c r="D181" s="8"/>
      <c r="E181" s="23"/>
      <c r="F181" s="71"/>
      <c r="G181" s="71"/>
      <c r="H181" s="71"/>
      <c r="I181" s="71"/>
      <c r="J181" s="15"/>
      <c r="K181" s="94"/>
      <c r="L181" s="95"/>
      <c r="M181" s="96"/>
      <c r="N181" s="97"/>
      <c r="O181" s="17"/>
      <c r="P181" s="17"/>
      <c r="Q181" s="17"/>
      <c r="R181" s="49"/>
    </row>
    <row r="182" spans="2:36" s="12" customFormat="1" ht="12.75" customHeight="1" x14ac:dyDescent="0.25">
      <c r="B182" s="13" t="str">
        <f>IF(F182&lt;&gt;"",1+MAX($B$22:B180),"")</f>
        <v/>
      </c>
      <c r="C182" s="13" t="s">
        <v>250</v>
      </c>
      <c r="D182" s="6" t="s">
        <v>208</v>
      </c>
      <c r="E182" s="128" t="s">
        <v>37</v>
      </c>
      <c r="F182" s="128"/>
      <c r="G182" s="128"/>
      <c r="H182" s="51">
        <f>SUM(I183:I192)</f>
        <v>0</v>
      </c>
      <c r="I182" s="51"/>
      <c r="J182" s="7"/>
      <c r="K182" s="142" t="s">
        <v>38</v>
      </c>
      <c r="L182" s="143"/>
      <c r="M182" s="143"/>
      <c r="N182" s="144"/>
      <c r="O182" s="51">
        <f>SUM(P183:P192)</f>
        <v>5747.0762182079334</v>
      </c>
      <c r="P182" s="7">
        <f t="shared" si="59"/>
        <v>0</v>
      </c>
      <c r="Q182" s="47">
        <f>SUM(Q183:Q192)</f>
        <v>5747.0762182079334</v>
      </c>
      <c r="R182" s="47">
        <f>(Q182)+(H182*$Q$8)+(O182*$Q$9)+(Q182*$Q$10)+($Q$11*((Q182)+(H182*$Q$8)+(O182*$Q$9)+(Q182*$Q$10)))+(Q182*$Q$12)</f>
        <v>8201.077763382722</v>
      </c>
      <c r="T182" s="11"/>
      <c r="U182" s="11"/>
      <c r="V182" s="11"/>
      <c r="W182" s="11"/>
      <c r="X182" s="11"/>
      <c r="Y182" s="11"/>
      <c r="Z182" s="11"/>
      <c r="AA182" s="11"/>
      <c r="AB182" s="11"/>
      <c r="AC182" s="11"/>
      <c r="AD182" s="11"/>
      <c r="AE182" s="11"/>
      <c r="AF182" s="11"/>
      <c r="AG182" s="11"/>
      <c r="AH182" s="11"/>
      <c r="AI182" s="11"/>
      <c r="AJ182" s="11"/>
    </row>
    <row r="183" spans="2:36" x14ac:dyDescent="0.25">
      <c r="B183" s="48" t="str">
        <f>IF(F183&lt;&gt;"",1+MAX($B$22:B182),"")</f>
        <v/>
      </c>
      <c r="C183" s="52"/>
      <c r="D183" s="8"/>
      <c r="E183" s="23"/>
      <c r="F183" s="39"/>
      <c r="G183" s="17"/>
      <c r="H183" s="17">
        <f t="shared" ref="H183:H192" si="67">G183*$T$2</f>
        <v>0</v>
      </c>
      <c r="I183" s="17">
        <f t="shared" si="58"/>
        <v>0</v>
      </c>
      <c r="J183" s="15"/>
      <c r="K183" s="10">
        <f t="shared" ref="K183:K192" si="68">F183*J183</f>
        <v>0</v>
      </c>
      <c r="L183" s="10"/>
      <c r="M183" s="17"/>
      <c r="N183" s="17">
        <f t="shared" ref="N183:N192" si="69">M183*$U$2</f>
        <v>0</v>
      </c>
      <c r="O183" s="17">
        <f t="shared" ref="O183:O192" si="70">J183*N183</f>
        <v>0</v>
      </c>
      <c r="P183" s="17">
        <f t="shared" si="59"/>
        <v>0</v>
      </c>
      <c r="Q183" s="17">
        <f t="shared" ref="Q183:Q192" si="71">I183+P183</f>
        <v>0</v>
      </c>
      <c r="R183" s="49"/>
      <c r="S183" s="12"/>
    </row>
    <row r="184" spans="2:36" x14ac:dyDescent="0.25">
      <c r="B184" s="63" t="str">
        <f>IF(F184&lt;&gt;"",1+MAX($B$22:B183),"")</f>
        <v/>
      </c>
      <c r="C184" s="64"/>
      <c r="D184" s="65" t="s">
        <v>51</v>
      </c>
      <c r="E184" s="23"/>
      <c r="F184" s="39"/>
      <c r="G184" s="17"/>
      <c r="H184" s="17">
        <f t="shared" si="67"/>
        <v>0</v>
      </c>
      <c r="I184" s="17">
        <f t="shared" si="58"/>
        <v>0</v>
      </c>
      <c r="J184" s="15"/>
      <c r="K184" s="10">
        <f t="shared" si="68"/>
        <v>0</v>
      </c>
      <c r="L184" s="10"/>
      <c r="M184" s="17"/>
      <c r="N184" s="17">
        <f t="shared" si="69"/>
        <v>0</v>
      </c>
      <c r="O184" s="17">
        <f t="shared" si="70"/>
        <v>0</v>
      </c>
      <c r="P184" s="17">
        <f t="shared" si="59"/>
        <v>0</v>
      </c>
      <c r="Q184" s="17">
        <f t="shared" si="71"/>
        <v>0</v>
      </c>
      <c r="R184" s="49"/>
    </row>
    <row r="185" spans="2:36" x14ac:dyDescent="0.25">
      <c r="B185" s="84">
        <f>IF(F185&lt;&gt;"",1+MAX($B$22:B184),"")</f>
        <v>69</v>
      </c>
      <c r="C185" s="52" t="s">
        <v>267</v>
      </c>
      <c r="D185" s="8" t="s">
        <v>251</v>
      </c>
      <c r="E185" s="23" t="s">
        <v>49</v>
      </c>
      <c r="F185" s="71">
        <f>((224*1*1.17)+(477*1*1.25)+(1083*1*1.33)+(88*1*1.42)+(76*1*1.5)+(84*1*1.67))/27</f>
        <v>99.183703703703728</v>
      </c>
      <c r="G185" s="75"/>
      <c r="H185" s="75">
        <f t="shared" si="67"/>
        <v>0</v>
      </c>
      <c r="I185" s="75">
        <f t="shared" ref="I185:I191" si="72">F185*H185</f>
        <v>0</v>
      </c>
      <c r="J185" s="15">
        <v>0.67900000000000005</v>
      </c>
      <c r="K185" s="10">
        <f t="shared" si="68"/>
        <v>67.345734814814833</v>
      </c>
      <c r="L185" s="79" t="s">
        <v>230</v>
      </c>
      <c r="M185" s="80">
        <v>42.1</v>
      </c>
      <c r="N185" s="17">
        <f t="shared" si="69"/>
        <v>56.414000000000009</v>
      </c>
      <c r="O185" s="17">
        <f t="shared" si="70"/>
        <v>38.305106000000009</v>
      </c>
      <c r="P185" s="17">
        <f t="shared" ref="P185:P191" si="73">F185*O185</f>
        <v>3799.2422838429648</v>
      </c>
      <c r="Q185" s="17">
        <f t="shared" si="71"/>
        <v>3799.2422838429648</v>
      </c>
      <c r="R185" s="49"/>
    </row>
    <row r="186" spans="2:36" x14ac:dyDescent="0.25">
      <c r="B186" s="48" t="str">
        <f>IF(F186&lt;&gt;"",1+MAX($B$22:B185),"")</f>
        <v/>
      </c>
      <c r="C186" s="52"/>
      <c r="D186" s="48"/>
      <c r="E186" s="52"/>
      <c r="F186" s="50"/>
      <c r="G186" s="17"/>
      <c r="H186" s="17">
        <f t="shared" si="67"/>
        <v>0</v>
      </c>
      <c r="I186" s="17">
        <f t="shared" si="72"/>
        <v>0</v>
      </c>
      <c r="J186" s="15"/>
      <c r="K186" s="10">
        <f t="shared" si="68"/>
        <v>0</v>
      </c>
      <c r="L186" s="10"/>
      <c r="M186" s="17"/>
      <c r="N186" s="17">
        <f t="shared" si="69"/>
        <v>0</v>
      </c>
      <c r="O186" s="17">
        <f t="shared" si="70"/>
        <v>0</v>
      </c>
      <c r="P186" s="17">
        <f t="shared" si="73"/>
        <v>0</v>
      </c>
      <c r="Q186" s="17">
        <f t="shared" si="71"/>
        <v>0</v>
      </c>
      <c r="R186" s="49"/>
    </row>
    <row r="187" spans="2:36" x14ac:dyDescent="0.25">
      <c r="B187" s="63" t="str">
        <f>IF(F187&lt;&gt;"",1+MAX($B$22:B186),"")</f>
        <v/>
      </c>
      <c r="C187" s="64"/>
      <c r="D187" s="65" t="s">
        <v>52</v>
      </c>
      <c r="E187" s="23"/>
      <c r="F187" s="71"/>
      <c r="G187" s="17"/>
      <c r="H187" s="17">
        <f t="shared" si="67"/>
        <v>0</v>
      </c>
      <c r="I187" s="17">
        <f t="shared" si="72"/>
        <v>0</v>
      </c>
      <c r="J187" s="15"/>
      <c r="K187" s="10">
        <f t="shared" si="68"/>
        <v>0</v>
      </c>
      <c r="L187" s="10"/>
      <c r="M187" s="17"/>
      <c r="N187" s="17">
        <f t="shared" si="69"/>
        <v>0</v>
      </c>
      <c r="O187" s="17">
        <f t="shared" si="70"/>
        <v>0</v>
      </c>
      <c r="P187" s="17">
        <f t="shared" si="73"/>
        <v>0</v>
      </c>
      <c r="Q187" s="17">
        <f t="shared" si="71"/>
        <v>0</v>
      </c>
      <c r="R187" s="49"/>
    </row>
    <row r="188" spans="2:36" x14ac:dyDescent="0.25">
      <c r="B188" s="84">
        <f>IF(F188&lt;&gt;"",1+MAX($B$22:B187),"")</f>
        <v>70</v>
      </c>
      <c r="C188" s="52" t="s">
        <v>267</v>
      </c>
      <c r="D188" s="8" t="s">
        <v>252</v>
      </c>
      <c r="E188" s="23" t="s">
        <v>49</v>
      </c>
      <c r="F188" s="71">
        <v>92.5</v>
      </c>
      <c r="G188" s="75"/>
      <c r="H188" s="75">
        <f t="shared" si="67"/>
        <v>0</v>
      </c>
      <c r="I188" s="75">
        <f t="shared" si="72"/>
        <v>0</v>
      </c>
      <c r="J188" s="15">
        <v>0.36099999999999999</v>
      </c>
      <c r="K188" s="10">
        <f t="shared" si="68"/>
        <v>33.392499999999998</v>
      </c>
      <c r="L188" s="79" t="s">
        <v>230</v>
      </c>
      <c r="M188" s="80">
        <v>42.1</v>
      </c>
      <c r="N188" s="17">
        <f t="shared" si="69"/>
        <v>56.414000000000009</v>
      </c>
      <c r="O188" s="17">
        <f t="shared" si="70"/>
        <v>20.365454000000003</v>
      </c>
      <c r="P188" s="17">
        <f t="shared" si="73"/>
        <v>1883.8044950000003</v>
      </c>
      <c r="Q188" s="17">
        <f t="shared" si="71"/>
        <v>1883.8044950000003</v>
      </c>
      <c r="R188" s="49"/>
    </row>
    <row r="189" spans="2:36" x14ac:dyDescent="0.25">
      <c r="B189" s="48" t="str">
        <f>IF(F189&lt;&gt;"",1+MAX($B$22:B188),"")</f>
        <v/>
      </c>
      <c r="C189" s="52"/>
      <c r="D189" s="8"/>
      <c r="E189" s="23"/>
      <c r="F189" s="39"/>
      <c r="G189" s="17"/>
      <c r="H189" s="17">
        <f t="shared" si="67"/>
        <v>0</v>
      </c>
      <c r="I189" s="17">
        <f t="shared" si="72"/>
        <v>0</v>
      </c>
      <c r="J189" s="15"/>
      <c r="K189" s="10">
        <f t="shared" si="68"/>
        <v>0</v>
      </c>
      <c r="L189" s="10"/>
      <c r="M189" s="17"/>
      <c r="N189" s="17">
        <f t="shared" si="69"/>
        <v>0</v>
      </c>
      <c r="O189" s="17">
        <f t="shared" si="70"/>
        <v>0</v>
      </c>
      <c r="P189" s="17">
        <f t="shared" si="73"/>
        <v>0</v>
      </c>
      <c r="Q189" s="17">
        <f t="shared" si="71"/>
        <v>0</v>
      </c>
      <c r="R189" s="49"/>
    </row>
    <row r="190" spans="2:36" x14ac:dyDescent="0.25">
      <c r="B190" s="63" t="str">
        <f>IF(F190&lt;&gt;"",1+MAX($B$22:B189),"")</f>
        <v/>
      </c>
      <c r="C190" s="64"/>
      <c r="D190" s="65" t="s">
        <v>53</v>
      </c>
      <c r="E190" s="23"/>
      <c r="F190" s="39"/>
      <c r="G190" s="17"/>
      <c r="H190" s="17">
        <f t="shared" si="67"/>
        <v>0</v>
      </c>
      <c r="I190" s="17">
        <f t="shared" si="72"/>
        <v>0</v>
      </c>
      <c r="J190" s="15"/>
      <c r="K190" s="10">
        <f t="shared" si="68"/>
        <v>0</v>
      </c>
      <c r="L190" s="10"/>
      <c r="M190" s="17"/>
      <c r="N190" s="17">
        <f t="shared" si="69"/>
        <v>0</v>
      </c>
      <c r="O190" s="17">
        <f t="shared" si="70"/>
        <v>0</v>
      </c>
      <c r="P190" s="17">
        <f t="shared" si="73"/>
        <v>0</v>
      </c>
      <c r="Q190" s="17">
        <f t="shared" si="71"/>
        <v>0</v>
      </c>
      <c r="R190" s="49"/>
    </row>
    <row r="191" spans="2:36" x14ac:dyDescent="0.25">
      <c r="B191" s="84">
        <f>IF(F191&lt;&gt;"",1+MAX($B$22:B190),"")</f>
        <v>71</v>
      </c>
      <c r="C191" s="52" t="s">
        <v>267</v>
      </c>
      <c r="D191" s="8" t="s">
        <v>260</v>
      </c>
      <c r="E191" s="23" t="s">
        <v>49</v>
      </c>
      <c r="F191" s="71">
        <f>((3.1416*0.08*0.08*224)+(3.1416*0.12*0.12*477)+(3.1416*0.17*0.17*1083)+(3.1416*0.21*0.21*88)+(3.1416*0.25*0.25*76)+(3.1416*0.33*0.33*84))/27</f>
        <v>6.6764235999999997</v>
      </c>
      <c r="G191" s="75"/>
      <c r="H191" s="75">
        <f t="shared" si="67"/>
        <v>0</v>
      </c>
      <c r="I191" s="75">
        <f t="shared" si="72"/>
        <v>0</v>
      </c>
      <c r="J191" s="15">
        <v>0.17</v>
      </c>
      <c r="K191" s="10">
        <f t="shared" si="68"/>
        <v>1.1349920120000001</v>
      </c>
      <c r="L191" s="79" t="s">
        <v>230</v>
      </c>
      <c r="M191" s="80">
        <v>42.1</v>
      </c>
      <c r="N191" s="17">
        <f t="shared" si="69"/>
        <v>56.414000000000009</v>
      </c>
      <c r="O191" s="17">
        <f t="shared" si="70"/>
        <v>9.5903800000000015</v>
      </c>
      <c r="P191" s="17">
        <f t="shared" si="73"/>
        <v>64.029439364968013</v>
      </c>
      <c r="Q191" s="17">
        <f t="shared" si="71"/>
        <v>64.029439364968013</v>
      </c>
      <c r="R191" s="49"/>
    </row>
    <row r="192" spans="2:36" x14ac:dyDescent="0.25">
      <c r="B192" s="48" t="str">
        <f>IF(F192&lt;&gt;"",1+MAX($B$22:B188),"")</f>
        <v/>
      </c>
      <c r="C192" s="52"/>
      <c r="D192" s="8"/>
      <c r="E192" s="23"/>
      <c r="F192" s="39"/>
      <c r="G192" s="17"/>
      <c r="H192" s="17">
        <f t="shared" si="67"/>
        <v>0</v>
      </c>
      <c r="I192" s="17">
        <f t="shared" si="58"/>
        <v>0</v>
      </c>
      <c r="J192" s="15"/>
      <c r="K192" s="10">
        <f t="shared" si="68"/>
        <v>0</v>
      </c>
      <c r="L192" s="10"/>
      <c r="M192" s="17"/>
      <c r="N192" s="17">
        <f t="shared" si="69"/>
        <v>0</v>
      </c>
      <c r="O192" s="17">
        <f t="shared" si="70"/>
        <v>0</v>
      </c>
      <c r="P192" s="17">
        <f t="shared" si="59"/>
        <v>0</v>
      </c>
      <c r="Q192" s="17">
        <f t="shared" si="71"/>
        <v>0</v>
      </c>
      <c r="R192" s="49"/>
    </row>
    <row r="193" spans="2:36" x14ac:dyDescent="0.25">
      <c r="B193" s="60"/>
      <c r="C193" s="85"/>
      <c r="D193" s="86"/>
      <c r="E193" s="87"/>
      <c r="F193" s="88"/>
      <c r="G193" s="89"/>
      <c r="H193" s="89"/>
      <c r="I193" s="89"/>
      <c r="J193" s="90"/>
      <c r="K193" s="91"/>
      <c r="L193" s="91"/>
      <c r="M193" s="89"/>
      <c r="N193" s="89"/>
      <c r="O193" s="89"/>
      <c r="P193" s="89"/>
      <c r="Q193" s="89"/>
      <c r="R193" s="92"/>
      <c r="S193" s="12"/>
    </row>
    <row r="194" spans="2:36" ht="18" x14ac:dyDescent="0.25">
      <c r="B194" s="148" t="s">
        <v>253</v>
      </c>
      <c r="C194" s="149"/>
      <c r="D194" s="149"/>
      <c r="E194" s="149"/>
      <c r="F194" s="149"/>
      <c r="G194" s="149"/>
      <c r="H194" s="149"/>
      <c r="I194" s="149"/>
      <c r="J194" s="149"/>
      <c r="K194" s="149"/>
      <c r="L194" s="149"/>
      <c r="M194" s="149"/>
      <c r="N194" s="149"/>
      <c r="O194" s="149"/>
      <c r="P194" s="149"/>
      <c r="Q194" s="149"/>
      <c r="R194" s="150"/>
      <c r="S194" s="12"/>
    </row>
    <row r="195" spans="2:36" ht="12.75" customHeight="1" x14ac:dyDescent="0.25">
      <c r="B195" s="151" t="s">
        <v>5</v>
      </c>
      <c r="C195" s="151" t="s">
        <v>33</v>
      </c>
      <c r="D195" s="153" t="s">
        <v>1</v>
      </c>
      <c r="E195" s="151" t="s">
        <v>6</v>
      </c>
      <c r="F195" s="153" t="s">
        <v>14</v>
      </c>
      <c r="G195" s="155" t="s">
        <v>13</v>
      </c>
      <c r="H195" s="156"/>
      <c r="I195" s="157"/>
      <c r="J195" s="158" t="s">
        <v>12</v>
      </c>
      <c r="K195" s="159"/>
      <c r="L195" s="159"/>
      <c r="M195" s="159"/>
      <c r="N195" s="159"/>
      <c r="O195" s="159"/>
      <c r="P195" s="160"/>
      <c r="Q195" s="161" t="s">
        <v>4</v>
      </c>
      <c r="R195" s="161" t="s">
        <v>254</v>
      </c>
      <c r="S195" s="12"/>
    </row>
    <row r="196" spans="2:36" ht="27.75" customHeight="1" x14ac:dyDescent="0.25">
      <c r="B196" s="152"/>
      <c r="C196" s="152"/>
      <c r="D196" s="154"/>
      <c r="E196" s="152"/>
      <c r="F196" s="154"/>
      <c r="G196" s="28" t="s">
        <v>11</v>
      </c>
      <c r="H196" s="62" t="s">
        <v>11</v>
      </c>
      <c r="I196" s="62" t="s">
        <v>10</v>
      </c>
      <c r="J196" s="61" t="s">
        <v>15</v>
      </c>
      <c r="K196" s="61" t="s">
        <v>7</v>
      </c>
      <c r="L196" s="29" t="s">
        <v>34</v>
      </c>
      <c r="M196" s="29" t="s">
        <v>35</v>
      </c>
      <c r="N196" s="61" t="s">
        <v>35</v>
      </c>
      <c r="O196" s="61" t="s">
        <v>11</v>
      </c>
      <c r="P196" s="62" t="s">
        <v>10</v>
      </c>
      <c r="Q196" s="162"/>
      <c r="R196" s="162"/>
      <c r="S196" s="12"/>
    </row>
    <row r="197" spans="2:36" s="12" customFormat="1" x14ac:dyDescent="0.25">
      <c r="B197" s="60" t="str">
        <f>IF(F197&lt;&gt;"",1+MAX($B$1:B196),"")</f>
        <v/>
      </c>
      <c r="C197" s="30"/>
      <c r="D197" s="31"/>
      <c r="E197" s="24"/>
      <c r="F197" s="32"/>
      <c r="G197" s="33"/>
      <c r="H197" s="33"/>
      <c r="I197" s="34"/>
      <c r="J197" s="34"/>
      <c r="K197" s="24"/>
      <c r="L197" s="24"/>
      <c r="M197" s="34"/>
      <c r="N197" s="34"/>
      <c r="O197" s="33"/>
      <c r="P197" s="34"/>
      <c r="Q197" s="35"/>
      <c r="R197" s="46"/>
      <c r="T197" s="11"/>
      <c r="U197" s="11"/>
      <c r="V197" s="11"/>
      <c r="W197" s="11"/>
      <c r="X197" s="11"/>
      <c r="Y197" s="11"/>
      <c r="Z197" s="11"/>
      <c r="AA197" s="11"/>
      <c r="AB197" s="11"/>
      <c r="AC197" s="11"/>
      <c r="AD197" s="11"/>
      <c r="AE197" s="11"/>
      <c r="AF197" s="11"/>
      <c r="AG197" s="11"/>
      <c r="AH197" s="11"/>
      <c r="AI197" s="11"/>
      <c r="AJ197" s="11"/>
    </row>
    <row r="198" spans="2:36" s="12" customFormat="1" ht="12.75" customHeight="1" x14ac:dyDescent="0.25">
      <c r="B198" s="13" t="str">
        <f>IF(F198&lt;&gt;"",1+MAX($B$1:B197),"")</f>
        <v/>
      </c>
      <c r="C198" s="13" t="s">
        <v>255</v>
      </c>
      <c r="D198" s="6" t="s">
        <v>256</v>
      </c>
      <c r="E198" s="139" t="s">
        <v>37</v>
      </c>
      <c r="F198" s="140"/>
      <c r="G198" s="141"/>
      <c r="H198" s="51">
        <f>SUM(I199:I204)</f>
        <v>0</v>
      </c>
      <c r="I198" s="51"/>
      <c r="J198" s="7"/>
      <c r="K198" s="142" t="s">
        <v>38</v>
      </c>
      <c r="L198" s="143"/>
      <c r="M198" s="143"/>
      <c r="N198" s="144"/>
      <c r="O198" s="51">
        <f>SUM(P199:P204)</f>
        <v>3284.2151580559835</v>
      </c>
      <c r="P198" s="7">
        <f t="shared" ref="P198:P204" si="74">F198*O198</f>
        <v>0</v>
      </c>
      <c r="Q198" s="47">
        <f>SUM(Q199:Q204)</f>
        <v>3284.2151580559835</v>
      </c>
      <c r="R198" s="47">
        <f>(Q198)+(H198*$Q$8)+(O198*$Q$9)+(Q198*$Q$10)+($Q$11*((Q198)+(H198*$Q$8)+(O198*$Q$9)+(Q198*$Q$10)))+(Q198*$Q$12)</f>
        <v>4686.5750305458878</v>
      </c>
      <c r="T198" s="11"/>
      <c r="U198" s="11"/>
      <c r="V198" s="11"/>
      <c r="W198" s="11"/>
      <c r="X198" s="11"/>
      <c r="Y198" s="11"/>
      <c r="Z198" s="11"/>
      <c r="AA198" s="11"/>
      <c r="AB198" s="11"/>
      <c r="AC198" s="11"/>
      <c r="AD198" s="11"/>
      <c r="AE198" s="11"/>
      <c r="AF198" s="11"/>
      <c r="AG198" s="11"/>
      <c r="AH198" s="11"/>
      <c r="AI198" s="11"/>
      <c r="AJ198" s="11"/>
    </row>
    <row r="199" spans="2:36" x14ac:dyDescent="0.25">
      <c r="B199" s="48" t="str">
        <f>IF(F199&lt;&gt;"",1+MAX($B$1:B198),"")</f>
        <v/>
      </c>
      <c r="C199" s="52"/>
      <c r="D199" s="8"/>
      <c r="E199" s="23"/>
      <c r="F199" s="27"/>
      <c r="G199" s="17"/>
      <c r="H199" s="17">
        <f t="shared" ref="H199:H204" si="75">G199*$T$2</f>
        <v>0</v>
      </c>
      <c r="I199" s="17">
        <f t="shared" ref="I199:I204" si="76">F199*H199</f>
        <v>0</v>
      </c>
      <c r="J199" s="15"/>
      <c r="K199" s="10">
        <f t="shared" ref="K199:K204" si="77">F199*J199</f>
        <v>0</v>
      </c>
      <c r="L199" s="10"/>
      <c r="M199" s="17"/>
      <c r="N199" s="17">
        <f t="shared" ref="N199:N204" si="78">M199*$U$2</f>
        <v>0</v>
      </c>
      <c r="O199" s="17">
        <f t="shared" ref="O199:O204" si="79">J199*N199</f>
        <v>0</v>
      </c>
      <c r="P199" s="17">
        <f t="shared" si="74"/>
        <v>0</v>
      </c>
      <c r="Q199" s="17">
        <f t="shared" ref="Q199:Q204" si="80">I199+P199</f>
        <v>0</v>
      </c>
      <c r="R199" s="49"/>
      <c r="S199" s="12"/>
    </row>
    <row r="200" spans="2:36" x14ac:dyDescent="0.25">
      <c r="B200" s="63" t="str">
        <f>IF(F200&lt;&gt;"",1+MAX($B$22:B199),"")</f>
        <v/>
      </c>
      <c r="C200" s="64"/>
      <c r="D200" s="65" t="s">
        <v>208</v>
      </c>
      <c r="E200" s="23"/>
      <c r="F200" s="39"/>
      <c r="G200" s="17"/>
      <c r="H200" s="17">
        <f t="shared" si="75"/>
        <v>0</v>
      </c>
      <c r="I200" s="17">
        <f t="shared" si="76"/>
        <v>0</v>
      </c>
      <c r="J200" s="15"/>
      <c r="K200" s="10">
        <f t="shared" si="77"/>
        <v>0</v>
      </c>
      <c r="L200" s="10"/>
      <c r="M200" s="17"/>
      <c r="N200" s="17">
        <f t="shared" si="78"/>
        <v>0</v>
      </c>
      <c r="O200" s="17">
        <f t="shared" si="79"/>
        <v>0</v>
      </c>
      <c r="P200" s="17">
        <f t="shared" si="74"/>
        <v>0</v>
      </c>
      <c r="Q200" s="17">
        <f t="shared" si="80"/>
        <v>0</v>
      </c>
      <c r="R200" s="49"/>
    </row>
    <row r="201" spans="2:36" x14ac:dyDescent="0.25">
      <c r="B201" s="84">
        <f>IF(F201&lt;&gt;"",1+MAX($B$22:B200),"")</f>
        <v>72</v>
      </c>
      <c r="C201" s="145" t="s">
        <v>268</v>
      </c>
      <c r="D201" s="8" t="s">
        <v>257</v>
      </c>
      <c r="E201" s="23" t="s">
        <v>49</v>
      </c>
      <c r="F201" s="71">
        <f>(1151*1.33*1)/27</f>
        <v>56.697407407407411</v>
      </c>
      <c r="G201" s="75"/>
      <c r="H201" s="75">
        <f t="shared" si="75"/>
        <v>0</v>
      </c>
      <c r="I201" s="75">
        <f t="shared" si="76"/>
        <v>0</v>
      </c>
      <c r="J201" s="15">
        <v>0.67900000000000005</v>
      </c>
      <c r="K201" s="10">
        <f t="shared" si="77"/>
        <v>38.497539629629635</v>
      </c>
      <c r="L201" s="79" t="s">
        <v>230</v>
      </c>
      <c r="M201" s="80">
        <v>42.1</v>
      </c>
      <c r="N201" s="17">
        <f t="shared" si="78"/>
        <v>56.414000000000009</v>
      </c>
      <c r="O201" s="17">
        <f t="shared" si="79"/>
        <v>38.305106000000009</v>
      </c>
      <c r="P201" s="17">
        <f t="shared" si="74"/>
        <v>2171.8002006659267</v>
      </c>
      <c r="Q201" s="17">
        <f t="shared" si="80"/>
        <v>2171.8002006659267</v>
      </c>
      <c r="R201" s="49"/>
    </row>
    <row r="202" spans="2:36" x14ac:dyDescent="0.25">
      <c r="B202" s="84">
        <f>IF(F202&lt;&gt;"",1+MAX($B$22:B201),"")</f>
        <v>73</v>
      </c>
      <c r="C202" s="146"/>
      <c r="D202" s="8" t="s">
        <v>258</v>
      </c>
      <c r="E202" s="23" t="s">
        <v>49</v>
      </c>
      <c r="F202" s="71">
        <v>52.8</v>
      </c>
      <c r="G202" s="75"/>
      <c r="H202" s="75">
        <f t="shared" si="75"/>
        <v>0</v>
      </c>
      <c r="I202" s="75">
        <f t="shared" si="76"/>
        <v>0</v>
      </c>
      <c r="J202" s="15">
        <v>0.36099999999999999</v>
      </c>
      <c r="K202" s="10">
        <f t="shared" si="77"/>
        <v>19.060799999999997</v>
      </c>
      <c r="L202" s="79" t="s">
        <v>230</v>
      </c>
      <c r="M202" s="80">
        <v>42.1</v>
      </c>
      <c r="N202" s="17">
        <f t="shared" si="78"/>
        <v>56.414000000000009</v>
      </c>
      <c r="O202" s="17">
        <f t="shared" si="79"/>
        <v>20.365454000000003</v>
      </c>
      <c r="P202" s="17">
        <f t="shared" si="74"/>
        <v>1075.2959712000002</v>
      </c>
      <c r="Q202" s="17">
        <f t="shared" si="80"/>
        <v>1075.2959712000002</v>
      </c>
      <c r="R202" s="49"/>
    </row>
    <row r="203" spans="2:36" x14ac:dyDescent="0.25">
      <c r="B203" s="84">
        <f>IF(F203&lt;&gt;"",1+MAX($B$22:B202),"")</f>
        <v>74</v>
      </c>
      <c r="C203" s="147"/>
      <c r="D203" s="8" t="s">
        <v>259</v>
      </c>
      <c r="E203" s="23" t="s">
        <v>49</v>
      </c>
      <c r="F203" s="71">
        <f>(3.1416*0.17*0.17*1151)/27</f>
        <v>3.8704395644444447</v>
      </c>
      <c r="G203" s="75"/>
      <c r="H203" s="75">
        <f t="shared" si="75"/>
        <v>0</v>
      </c>
      <c r="I203" s="75">
        <f t="shared" si="76"/>
        <v>0</v>
      </c>
      <c r="J203" s="15">
        <v>0.17</v>
      </c>
      <c r="K203" s="10">
        <f t="shared" si="77"/>
        <v>0.65797472595555562</v>
      </c>
      <c r="L203" s="79" t="s">
        <v>230</v>
      </c>
      <c r="M203" s="80">
        <v>42.1</v>
      </c>
      <c r="N203" s="17">
        <f t="shared" si="78"/>
        <v>56.414000000000009</v>
      </c>
      <c r="O203" s="17">
        <f t="shared" si="79"/>
        <v>9.5903800000000015</v>
      </c>
      <c r="P203" s="17">
        <f t="shared" si="74"/>
        <v>37.118986190056717</v>
      </c>
      <c r="Q203" s="17">
        <f t="shared" si="80"/>
        <v>37.118986190056717</v>
      </c>
      <c r="R203" s="49"/>
    </row>
    <row r="204" spans="2:36" s="12" customFormat="1" x14ac:dyDescent="0.25">
      <c r="B204" s="48" t="str">
        <f>IF(F204&lt;&gt;"",1+MAX($B$1:B199),"")</f>
        <v/>
      </c>
      <c r="C204" s="52"/>
      <c r="D204" s="50"/>
      <c r="E204" s="23"/>
      <c r="F204" s="39"/>
      <c r="G204" s="17"/>
      <c r="H204" s="17">
        <f t="shared" si="75"/>
        <v>0</v>
      </c>
      <c r="I204" s="17">
        <f t="shared" si="76"/>
        <v>0</v>
      </c>
      <c r="J204" s="15"/>
      <c r="K204" s="10">
        <f t="shared" si="77"/>
        <v>0</v>
      </c>
      <c r="L204" s="10"/>
      <c r="M204" s="17"/>
      <c r="N204" s="17">
        <f t="shared" si="78"/>
        <v>0</v>
      </c>
      <c r="O204" s="17">
        <f t="shared" si="79"/>
        <v>0</v>
      </c>
      <c r="P204" s="17">
        <f t="shared" si="74"/>
        <v>0</v>
      </c>
      <c r="Q204" s="17">
        <f t="shared" si="80"/>
        <v>0</v>
      </c>
      <c r="R204" s="49"/>
      <c r="T204" s="11"/>
      <c r="U204" s="11"/>
      <c r="V204" s="11"/>
      <c r="W204" s="11"/>
      <c r="X204" s="11"/>
      <c r="Y204" s="11"/>
      <c r="Z204" s="11"/>
      <c r="AA204" s="11"/>
      <c r="AB204" s="11"/>
      <c r="AC204" s="11"/>
      <c r="AD204" s="11"/>
      <c r="AE204" s="11"/>
      <c r="AF204" s="11"/>
      <c r="AG204" s="11"/>
      <c r="AH204" s="11"/>
      <c r="AI204" s="11"/>
      <c r="AJ204" s="11"/>
    </row>
    <row r="205" spans="2:36" x14ac:dyDescent="0.25">
      <c r="S205" s="12"/>
    </row>
    <row r="206" spans="2:36" x14ac:dyDescent="0.25">
      <c r="S206" s="12"/>
    </row>
    <row r="207" spans="2:36" x14ac:dyDescent="0.25">
      <c r="S207" s="12"/>
    </row>
    <row r="208" spans="2:36" x14ac:dyDescent="0.25">
      <c r="S208" s="12"/>
    </row>
    <row r="209" spans="19:19" x14ac:dyDescent="0.25">
      <c r="S209" s="12"/>
    </row>
    <row r="210" spans="19:19" x14ac:dyDescent="0.25">
      <c r="S210" s="12"/>
    </row>
    <row r="211" spans="19:19" x14ac:dyDescent="0.25">
      <c r="S211" s="12"/>
    </row>
    <row r="212" spans="19:19" x14ac:dyDescent="0.25">
      <c r="S212" s="12"/>
    </row>
    <row r="213" spans="19:19" x14ac:dyDescent="0.25">
      <c r="S213" s="12"/>
    </row>
    <row r="214" spans="19:19" x14ac:dyDescent="0.25">
      <c r="S214" s="12"/>
    </row>
    <row r="215" spans="19:19" x14ac:dyDescent="0.25">
      <c r="S215" s="12"/>
    </row>
    <row r="216" spans="19:19" x14ac:dyDescent="0.25">
      <c r="S216" s="12"/>
    </row>
    <row r="217" spans="19:19" x14ac:dyDescent="0.25">
      <c r="S217" s="12"/>
    </row>
    <row r="218" spans="19:19" x14ac:dyDescent="0.25">
      <c r="S218" s="12"/>
    </row>
    <row r="219" spans="19:19" x14ac:dyDescent="0.25">
      <c r="S219" s="12"/>
    </row>
    <row r="220" spans="19:19" x14ac:dyDescent="0.25">
      <c r="S220" s="12"/>
    </row>
    <row r="221" spans="19:19" x14ac:dyDescent="0.25">
      <c r="S221" s="12"/>
    </row>
    <row r="222" spans="19:19" x14ac:dyDescent="0.25">
      <c r="S222" s="12"/>
    </row>
    <row r="223" spans="19:19" x14ac:dyDescent="0.25">
      <c r="S223" s="12"/>
    </row>
    <row r="224" spans="19:19" x14ac:dyDescent="0.25">
      <c r="S224" s="12"/>
    </row>
    <row r="225" spans="19:19" x14ac:dyDescent="0.25">
      <c r="S225" s="12"/>
    </row>
    <row r="226" spans="19:19" x14ac:dyDescent="0.25">
      <c r="S226" s="12"/>
    </row>
    <row r="227" spans="19:19" x14ac:dyDescent="0.25">
      <c r="S227" s="12"/>
    </row>
    <row r="228" spans="19:19" x14ac:dyDescent="0.25">
      <c r="S228" s="12"/>
    </row>
    <row r="229" spans="19:19" x14ac:dyDescent="0.25">
      <c r="S229" s="12"/>
    </row>
    <row r="230" spans="19:19" x14ac:dyDescent="0.25">
      <c r="S230" s="12"/>
    </row>
    <row r="231" spans="19:19" x14ac:dyDescent="0.25">
      <c r="S231" s="12"/>
    </row>
  </sheetData>
  <mergeCells count="61">
    <mergeCell ref="E139:G139"/>
    <mergeCell ref="K139:N139"/>
    <mergeCell ref="C142:C149"/>
    <mergeCell ref="C174:C180"/>
    <mergeCell ref="K25:N25"/>
    <mergeCell ref="C51:C59"/>
    <mergeCell ref="C119:C123"/>
    <mergeCell ref="C112:C116"/>
    <mergeCell ref="C164:C166"/>
    <mergeCell ref="B16:C17"/>
    <mergeCell ref="D16:D17"/>
    <mergeCell ref="E16:I17"/>
    <mergeCell ref="J16:R17"/>
    <mergeCell ref="G18:I18"/>
    <mergeCell ref="J18:P18"/>
    <mergeCell ref="Q18:Q19"/>
    <mergeCell ref="R18:R19"/>
    <mergeCell ref="K21:N21"/>
    <mergeCell ref="C128:C129"/>
    <mergeCell ref="B18:B19"/>
    <mergeCell ref="C18:C19"/>
    <mergeCell ref="D18:D19"/>
    <mergeCell ref="E18:E19"/>
    <mergeCell ref="E21:G21"/>
    <mergeCell ref="E25:G25"/>
    <mergeCell ref="C31:C42"/>
    <mergeCell ref="C95:C106"/>
    <mergeCell ref="F18:F19"/>
    <mergeCell ref="I12:P12"/>
    <mergeCell ref="I13:P13"/>
    <mergeCell ref="I14:P14"/>
    <mergeCell ref="B15:C15"/>
    <mergeCell ref="E15:I15"/>
    <mergeCell ref="J15:R15"/>
    <mergeCell ref="I11:P11"/>
    <mergeCell ref="B2:R2"/>
    <mergeCell ref="B3:H3"/>
    <mergeCell ref="I3:R3"/>
    <mergeCell ref="B4:H4"/>
    <mergeCell ref="I4:R4"/>
    <mergeCell ref="I5:P5"/>
    <mergeCell ref="I6:P6"/>
    <mergeCell ref="I7:P7"/>
    <mergeCell ref="I8:P8"/>
    <mergeCell ref="I9:P9"/>
    <mergeCell ref="I10:P10"/>
    <mergeCell ref="E198:G198"/>
    <mergeCell ref="K198:N198"/>
    <mergeCell ref="C201:C203"/>
    <mergeCell ref="E182:G182"/>
    <mergeCell ref="K182:N182"/>
    <mergeCell ref="B194:R194"/>
    <mergeCell ref="B195:B196"/>
    <mergeCell ref="C195:C196"/>
    <mergeCell ref="D195:D196"/>
    <mergeCell ref="E195:E196"/>
    <mergeCell ref="F195:F196"/>
    <mergeCell ref="G195:I195"/>
    <mergeCell ref="J195:P195"/>
    <mergeCell ref="Q195:Q196"/>
    <mergeCell ref="R195:R196"/>
  </mergeCells>
  <printOptions horizontalCentered="1"/>
  <pageMargins left="0.25" right="0.25" top="0.375" bottom="0.375" header="0.25" footer="0.25"/>
  <pageSetup paperSize="9" scale="64" fitToHeight="0" orientation="landscape" horizontalDpi="300" verticalDpi="300" r:id="rId1"/>
  <headerFooter alignWithMargins="0">
    <oddFooter>&amp;R&amp;"Arial,Bold"&amp;P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533E6CE1-271F-40D0-8DB3-190659C7203F}">
  <ds:schemaRefs>
    <ds:schemaRef ds:uri="http://www.w3.org/2001/XMLSchem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6</vt:i4>
      </vt:variant>
    </vt:vector>
  </HeadingPairs>
  <TitlesOfParts>
    <vt:vector size="9" baseType="lpstr">
      <vt:lpstr>Summary</vt:lpstr>
      <vt:lpstr>Concrete</vt:lpstr>
      <vt:lpstr>Site Work</vt:lpstr>
      <vt:lpstr>Concrete!Print_Area</vt:lpstr>
      <vt:lpstr>'Site Work'!Print_Area</vt:lpstr>
      <vt:lpstr>Summary!Print_Area</vt:lpstr>
      <vt:lpstr>Concrete!Print_Titles</vt:lpstr>
      <vt:lpstr>'Site Work'!Print_Titles</vt:lpstr>
      <vt:lpstr>Summary!Print_Titles</vt:lpstr>
    </vt:vector>
  </TitlesOfParts>
  <LinksUpToDate>false</LinksUpToDate>
  <SharedDoc>false</SharedDoc>
  <HyperlinkBase>www.4Clicks.com</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Eren Yeagar</cp:lastModifiedBy>
  <cp:lastPrinted>2021-03-26T10:51:37Z</cp:lastPrinted>
  <dcterms:created xsi:type="dcterms:W3CDTF">1998-02-12T14:30:11Z</dcterms:created>
  <dcterms:modified xsi:type="dcterms:W3CDTF">2023-11-14T14:56:33Z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lanSwiftJobName">
    <vt:lpwstr/>
  </property>
  <property fmtid="{D5CDD505-2E9C-101B-9397-08002B2CF9AE}" pid="3" name="PlanSwiftJobGuid">
    <vt:lpwstr/>
  </property>
  <property fmtid="{D5CDD505-2E9C-101B-9397-08002B2CF9AE}" pid="4" name="LinkedDataId">
    <vt:lpwstr>{533E6CE1-271F-40D0-8DB3-190659C7203F}</vt:lpwstr>
  </property>
</Properties>
</file>